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Expense " sheetId="1" r:id="rId1"/>
    <sheet name="Import" sheetId="2" r:id="rId2"/>
    <sheet name="Remboursement Frais Km" sheetId="3" r:id="rId3"/>
  </sheets>
  <definedNames>
    <definedName name="d">'Remboursement Frais Km'!$A$18</definedName>
    <definedName name="DEPENSES" localSheetId="0">'Expense '!$U$1</definedName>
    <definedName name="INFOS" localSheetId="0">'Expense '!$W$1</definedName>
    <definedName name="PLAFONDS" localSheetId="0">'Expense '!$W$22</definedName>
    <definedName name="SERVICES" localSheetId="0">'Expense '!$U$22</definedName>
    <definedName name="TABLE" localSheetId="2">'Remboursement Frais Km'!#REF!</definedName>
    <definedName name="TABLE_2" localSheetId="2">'Remboursement Frais Km'!#REF!</definedName>
    <definedName name="TABLE_3" localSheetId="2">'Remboursement Frais Km'!$A$3:$D$14</definedName>
    <definedName name="TABLE_4" localSheetId="2">'Remboursement Frais Km'!$A$4:$D$14</definedName>
    <definedName name="_xlnm.Print_Area" localSheetId="0">'Expense '!$A$1:$Q$75</definedName>
  </definedNames>
  <calcPr fullCalcOnLoad="1"/>
</workbook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U16" authorId="0">
      <text>
        <r>
          <rPr>
            <sz val="8"/>
            <rFont val="Tahoma"/>
            <family val="0"/>
          </rPr>
          <t>80% de la TVA est récupérable</t>
        </r>
      </text>
    </comment>
  </commentList>
</comments>
</file>

<file path=xl/sharedStrings.xml><?xml version="1.0" encoding="utf-8"?>
<sst xmlns="http://schemas.openxmlformats.org/spreadsheetml/2006/main" count="172" uniqueCount="140">
  <si>
    <t xml:space="preserve"> </t>
  </si>
  <si>
    <t>DÉPENSES (Vert=Exonérée de TVA)</t>
  </si>
  <si>
    <t>INFORMATIONS PROCEDURES</t>
  </si>
  <si>
    <t>TVA</t>
  </si>
  <si>
    <t>Nom :</t>
  </si>
  <si>
    <t>BARONE</t>
  </si>
  <si>
    <t>Département :</t>
  </si>
  <si>
    <t>DFG1</t>
  </si>
  <si>
    <t>Du :</t>
  </si>
  <si>
    <t>Repas</t>
  </si>
  <si>
    <t>Prénom :</t>
  </si>
  <si>
    <t>Jean-Marie</t>
  </si>
  <si>
    <t>Section :</t>
  </si>
  <si>
    <t>Au :</t>
  </si>
  <si>
    <t>Chambre</t>
  </si>
  <si>
    <t>N° Compte :</t>
  </si>
  <si>
    <t>Véhicule :</t>
  </si>
  <si>
    <t>320 d</t>
  </si>
  <si>
    <t>N° Semaine :</t>
  </si>
  <si>
    <t>Avion - Rail</t>
  </si>
  <si>
    <t>Les billets d'avion ne sont pas remboursables sur Notes de Frais</t>
  </si>
  <si>
    <t>Status :</t>
  </si>
  <si>
    <t>Itinérant hors secteur/Collaborateur</t>
  </si>
  <si>
    <t>Immatriculation :</t>
  </si>
  <si>
    <t>335 CLH 78</t>
  </si>
  <si>
    <t>Devise</t>
  </si>
  <si>
    <t>EUR</t>
  </si>
  <si>
    <t>Taxis</t>
  </si>
  <si>
    <t>Le nom, la destination et le motif doivent être indiqués sur le justificatif</t>
  </si>
  <si>
    <t>Autoroute</t>
  </si>
  <si>
    <t>Il faut renseigner le montant de TVA des tickets de péage</t>
  </si>
  <si>
    <t>Parking</t>
  </si>
  <si>
    <t>Il faut renseigner le montant de TVA des tickets de stationnement</t>
  </si>
  <si>
    <t>Date</t>
  </si>
  <si>
    <t>Détail des Frais</t>
  </si>
  <si>
    <t>Région</t>
  </si>
  <si>
    <t>Type de</t>
  </si>
  <si>
    <t>TTC</t>
  </si>
  <si>
    <t>Taux</t>
  </si>
  <si>
    <t>Montant</t>
  </si>
  <si>
    <t>Nombre</t>
  </si>
  <si>
    <t>Essence</t>
  </si>
  <si>
    <t>Péage</t>
  </si>
  <si>
    <t>Lavage</t>
  </si>
  <si>
    <t>Km jours</t>
  </si>
  <si>
    <t>N° Compte</t>
  </si>
  <si>
    <t>Telephone/Fax</t>
  </si>
  <si>
    <t>Il faut indiquer le nom du destinataire sur le justificatif</t>
  </si>
  <si>
    <t>Déplacement</t>
  </si>
  <si>
    <t>Dépense</t>
  </si>
  <si>
    <t>HT</t>
  </si>
  <si>
    <t>de Repas</t>
  </si>
  <si>
    <t>Carte</t>
  </si>
  <si>
    <t>travaillés</t>
  </si>
  <si>
    <t>Invitation</t>
  </si>
  <si>
    <t>Il faut indiquer le nom des personnes invitées</t>
  </si>
  <si>
    <t>Province</t>
  </si>
  <si>
    <t>19,6%</t>
  </si>
  <si>
    <t>Documentation</t>
  </si>
  <si>
    <t>Location auto</t>
  </si>
  <si>
    <t>Affranchissemts</t>
  </si>
  <si>
    <t>Entretien Auto</t>
  </si>
  <si>
    <t>Il faut mentionner la formule de calcul dans le Détail de frais</t>
  </si>
  <si>
    <t>Reparation Auto</t>
  </si>
  <si>
    <t>Gazole</t>
  </si>
  <si>
    <t>Il faut mentionner dans le libellé pourquoi du carburant a été pris hors-carte</t>
  </si>
  <si>
    <t>Super H-Carte</t>
  </si>
  <si>
    <t>Divers</t>
  </si>
  <si>
    <t>Les articles de papeterie &amp; fournitures de bureau ne sont pas remboursables</t>
  </si>
  <si>
    <t>Compte de Tiers</t>
  </si>
  <si>
    <t>SERVICES</t>
  </si>
  <si>
    <t>GESTION DES PLAFONDS DEPENSES</t>
  </si>
  <si>
    <t>NATURE</t>
  </si>
  <si>
    <t>Itinérant sur Secteur</t>
  </si>
  <si>
    <t>Directeur ou Chef de Département</t>
  </si>
  <si>
    <t>Paris</t>
  </si>
  <si>
    <t>Siège Social</t>
  </si>
  <si>
    <t>Etranger</t>
  </si>
  <si>
    <t>DFG2</t>
  </si>
  <si>
    <t>DFG3</t>
  </si>
  <si>
    <t>Motif</t>
  </si>
  <si>
    <t>Total (TTC+Montant Repas)</t>
  </si>
  <si>
    <t>DSI</t>
  </si>
  <si>
    <t>DCG</t>
  </si>
  <si>
    <t>Avances perçues</t>
  </si>
  <si>
    <t>DC1</t>
  </si>
  <si>
    <t>DC2</t>
  </si>
  <si>
    <t>Solde</t>
  </si>
  <si>
    <t>DC3</t>
  </si>
  <si>
    <t>DMO1</t>
  </si>
  <si>
    <t>DMO2</t>
  </si>
  <si>
    <t>DRCT</t>
  </si>
  <si>
    <t>Validations</t>
  </si>
  <si>
    <t>Demandeur</t>
  </si>
  <si>
    <t>Directoire</t>
  </si>
  <si>
    <t>Comptabilité</t>
  </si>
  <si>
    <t>Dates :</t>
  </si>
  <si>
    <t>Noms :</t>
  </si>
  <si>
    <t>Prénoms :</t>
  </si>
  <si>
    <t>Signatures :</t>
  </si>
  <si>
    <t>Ecritures</t>
  </si>
  <si>
    <t>Comptables</t>
  </si>
  <si>
    <t>COMPTE</t>
  </si>
  <si>
    <t>DEBIT</t>
  </si>
  <si>
    <t>CREDIT</t>
  </si>
  <si>
    <r>
      <t>ATTENTION :</t>
    </r>
    <r>
      <rPr>
        <sz val="10"/>
        <rFont val="Arial"/>
        <family val="0"/>
      </rPr>
      <t xml:space="preserve"> n'oubliez pas de joindre </t>
    </r>
    <r>
      <rPr>
        <b/>
        <sz val="10"/>
        <rFont val="Arial"/>
        <family val="2"/>
      </rPr>
      <t>les justificatifs (factures, reçus) au nom de l'entreprise</t>
    </r>
    <r>
      <rPr>
        <sz val="10"/>
        <rFont val="Arial"/>
        <family val="0"/>
      </rPr>
      <t xml:space="preserve"> avec vos notes de frais.</t>
    </r>
  </si>
  <si>
    <t>Déplacement Province</t>
  </si>
  <si>
    <t>Facture Mobile</t>
  </si>
  <si>
    <t>Siège social</t>
  </si>
  <si>
    <t>Essence hors carte</t>
  </si>
  <si>
    <t>BARON01</t>
  </si>
  <si>
    <t>CODE</t>
  </si>
  <si>
    <t>DEVISE</t>
  </si>
  <si>
    <t>CHF</t>
  </si>
  <si>
    <t>USD</t>
  </si>
  <si>
    <t>CAD</t>
  </si>
  <si>
    <t>GBP</t>
  </si>
  <si>
    <t>JOURNAL</t>
  </si>
  <si>
    <t>NDF</t>
  </si>
  <si>
    <t>COMPTABLE</t>
  </si>
  <si>
    <t>4 CV</t>
  </si>
  <si>
    <t>5 CV</t>
  </si>
  <si>
    <t>6 CV</t>
  </si>
  <si>
    <t>7 CV</t>
  </si>
  <si>
    <t>8 CV</t>
  </si>
  <si>
    <t>9 CV</t>
  </si>
  <si>
    <t>10 CV</t>
  </si>
  <si>
    <t>11 CV</t>
  </si>
  <si>
    <t>12 CV</t>
  </si>
  <si>
    <t>Puissance fiscale</t>
  </si>
  <si>
    <t>Jusqu'à 5000 Km</t>
  </si>
  <si>
    <t>De 5 001 à 20 000 Km</t>
  </si>
  <si>
    <t>Au-delà de 20 000 Km</t>
  </si>
  <si>
    <t>3 CV ou moins</t>
  </si>
  <si>
    <t>13 CV ou plus</t>
  </si>
  <si>
    <t>Nombre de kilometres</t>
  </si>
  <si>
    <t>BARÊME KILOMÉTRIQUE 2006</t>
  </si>
  <si>
    <t>Puissance Fiscale</t>
  </si>
  <si>
    <t>Montant à rembourser</t>
  </si>
  <si>
    <t>EXPENSE 1.2    © 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</si>
</sst>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0.0%"/>
    <numFmt numFmtId="174" formatCode="#,##0.00\ _€"/>
    <numFmt numFmtId="175" formatCode="0.000%"/>
    <numFmt numFmtId="176" formatCode="[$-40C]dddd\ d\ mmmm\ yyyy"/>
    <numFmt numFmtId="177" formatCode="[$-40C]d\-mmm;@"/>
    <numFmt numFmtId="178" formatCode="[$-40C]dd\-mmm\-yy;@"/>
    <numFmt numFmtId="179" formatCode="[$-40C]d\ mmmm\ yyyy;@"/>
    <numFmt numFmtId="180" formatCode="#,##0.00\ \F\F"/>
    <numFmt numFmtId="181" formatCode="d/m"/>
    <numFmt numFmtId="182" formatCode="#,##0.00_ ;[Red]\-#,##0.00\ "/>
    <numFmt numFmtId="183" formatCode="#,##0.00;[Red]#,##0.00"/>
    <numFmt numFmtId="184" formatCode="0.0"/>
    <numFmt numFmtId="185" formatCode="#,##0.0\ _F;[Red]\-#,##0.0\ _F"/>
    <numFmt numFmtId="186" formatCode="#0\ _F;[Red]\-#0\ _F"/>
    <numFmt numFmtId="187" formatCode="d\-mmm\-yy"/>
    <numFmt numFmtId="188" formatCode="0.00_ ;[Red]\-0.00\ "/>
    <numFmt numFmtId="189" formatCode="0.000000"/>
    <numFmt numFmtId="190" formatCode="0.00000"/>
    <numFmt numFmtId="191" formatCode="0.0000"/>
    <numFmt numFmtId="192" formatCode="0.000"/>
    <numFmt numFmtId="193" formatCode="00000"/>
  </numFmts>
  <fonts count="20">
    <font>
      <sz val="10"/>
      <name val="Arial"/>
      <family val="0"/>
    </font>
    <font>
      <b/>
      <i/>
      <sz val="12"/>
      <color indexed="9"/>
      <name val="Arial"/>
      <family val="2"/>
    </font>
    <font>
      <b/>
      <sz val="10"/>
      <color indexed="9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7"/>
      <name val="Small Fonts"/>
      <family val="2"/>
    </font>
    <font>
      <sz val="8"/>
      <name val="Tahoma"/>
      <family val="0"/>
    </font>
    <font>
      <sz val="6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9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>
        <color indexed="8"/>
      </right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medium"/>
      <top>
        <color indexed="63"/>
      </top>
      <bottom style="medium"/>
    </border>
    <border>
      <left style="thin">
        <color indexed="9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ck"/>
      <top style="thin">
        <color indexed="23"/>
      </top>
      <bottom style="thin">
        <color indexed="9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Continuous"/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 horizontal="centerContinuous"/>
      <protection locked="0"/>
    </xf>
    <xf numFmtId="0" fontId="2" fillId="2" borderId="4" xfId="0" applyFont="1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/>
      <protection/>
    </xf>
    <xf numFmtId="0" fontId="3" fillId="0" borderId="1" xfId="0" applyNumberFormat="1" applyFont="1" applyBorder="1" applyAlignment="1" applyProtection="1">
      <alignment/>
      <protection/>
    </xf>
    <xf numFmtId="0" fontId="0" fillId="0" borderId="5" xfId="0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0" fillId="0" borderId="6" xfId="0" applyFill="1" applyBorder="1" applyAlignment="1" applyProtection="1">
      <alignment horizontal="centerContinuous"/>
      <protection locked="0"/>
    </xf>
    <xf numFmtId="0" fontId="2" fillId="3" borderId="7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9" xfId="0" applyFont="1" applyFill="1" applyBorder="1" applyAlignment="1" applyProtection="1">
      <alignment/>
      <protection locked="0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NumberFormat="1" applyFont="1" applyFill="1" applyBorder="1" applyAlignment="1" applyProtection="1">
      <alignment/>
      <protection/>
    </xf>
    <xf numFmtId="0" fontId="2" fillId="3" borderId="12" xfId="0" applyFont="1" applyFill="1" applyBorder="1" applyAlignment="1" applyProtection="1">
      <alignment/>
      <protection locked="0"/>
    </xf>
    <xf numFmtId="0" fontId="2" fillId="3" borderId="13" xfId="0" applyFont="1" applyFill="1" applyBorder="1" applyAlignment="1" applyProtection="1">
      <alignment/>
      <protection locked="0"/>
    </xf>
    <xf numFmtId="0" fontId="2" fillId="3" borderId="14" xfId="0" applyFont="1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15" xfId="0" applyNumberForma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2" fillId="3" borderId="16" xfId="0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2" fillId="3" borderId="17" xfId="0" applyFont="1" applyFill="1" applyBorder="1" applyAlignment="1" applyProtection="1">
      <alignment/>
      <protection locked="0"/>
    </xf>
    <xf numFmtId="0" fontId="2" fillId="3" borderId="18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/>
      <protection locked="0"/>
    </xf>
    <xf numFmtId="0" fontId="7" fillId="3" borderId="22" xfId="0" applyFont="1" applyFill="1" applyBorder="1" applyAlignment="1" applyProtection="1">
      <alignment/>
      <protection locked="0"/>
    </xf>
    <xf numFmtId="0" fontId="7" fillId="3" borderId="23" xfId="0" applyFont="1" applyFill="1" applyBorder="1" applyAlignment="1" applyProtection="1">
      <alignment/>
      <protection locked="0"/>
    </xf>
    <xf numFmtId="0" fontId="7" fillId="3" borderId="24" xfId="0" applyFont="1" applyFill="1" applyBorder="1" applyAlignment="1" applyProtection="1">
      <alignment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27" xfId="0" applyFont="1" applyFill="1" applyBorder="1" applyAlignment="1" applyProtection="1">
      <alignment horizontal="center"/>
      <protection locked="0"/>
    </xf>
    <xf numFmtId="15" fontId="8" fillId="0" borderId="8" xfId="0" applyNumberFormat="1" applyFont="1" applyBorder="1" applyAlignment="1" applyProtection="1">
      <alignment horizontal="center"/>
      <protection locked="0"/>
    </xf>
    <xf numFmtId="172" fontId="8" fillId="0" borderId="28" xfId="0" applyNumberFormat="1" applyFont="1" applyBorder="1" applyAlignment="1" applyProtection="1">
      <alignment horizontal="right"/>
      <protection locked="0"/>
    </xf>
    <xf numFmtId="172" fontId="8" fillId="0" borderId="29" xfId="0" applyNumberFormat="1" applyFont="1" applyBorder="1" applyAlignment="1" applyProtection="1">
      <alignment horizontal="left"/>
      <protection locked="0"/>
    </xf>
    <xf numFmtId="188" fontId="8" fillId="0" borderId="30" xfId="0" applyNumberFormat="1" applyFont="1" applyBorder="1" applyAlignment="1" applyProtection="1">
      <alignment horizontal="right"/>
      <protection locked="0"/>
    </xf>
    <xf numFmtId="173" fontId="8" fillId="0" borderId="29" xfId="0" applyNumberFormat="1" applyFont="1" applyBorder="1" applyAlignment="1" applyProtection="1">
      <alignment horizontal="right"/>
      <protection locked="0"/>
    </xf>
    <xf numFmtId="188" fontId="0" fillId="0" borderId="30" xfId="0" applyNumberFormat="1" applyBorder="1" applyAlignment="1" applyProtection="1">
      <alignment horizontal="right"/>
      <protection locked="0"/>
    </xf>
    <xf numFmtId="1" fontId="8" fillId="0" borderId="28" xfId="0" applyNumberFormat="1" applyFont="1" applyBorder="1" applyAlignment="1" applyProtection="1">
      <alignment/>
      <protection locked="0"/>
    </xf>
    <xf numFmtId="188" fontId="8" fillId="0" borderId="31" xfId="0" applyNumberFormat="1" applyFont="1" applyBorder="1" applyAlignment="1" applyProtection="1">
      <alignment horizontal="right"/>
      <protection locked="0"/>
    </xf>
    <xf numFmtId="188" fontId="8" fillId="0" borderId="28" xfId="0" applyNumberFormat="1" applyFont="1" applyBorder="1" applyAlignment="1" applyProtection="1">
      <alignment/>
      <protection locked="0"/>
    </xf>
    <xf numFmtId="188" fontId="8" fillId="0" borderId="30" xfId="0" applyNumberFormat="1" applyFont="1" applyBorder="1" applyAlignment="1" applyProtection="1">
      <alignment/>
      <protection locked="0"/>
    </xf>
    <xf numFmtId="1" fontId="8" fillId="0" borderId="9" xfId="0" applyNumberFormat="1" applyFont="1" applyBorder="1" applyAlignment="1" applyProtection="1">
      <alignment/>
      <protection locked="0"/>
    </xf>
    <xf numFmtId="0" fontId="0" fillId="0" borderId="9" xfId="0" applyNumberFormat="1" applyBorder="1" applyAlignment="1" applyProtection="1">
      <alignment/>
      <protection locked="0"/>
    </xf>
    <xf numFmtId="15" fontId="8" fillId="5" borderId="13" xfId="0" applyNumberFormat="1" applyFont="1" applyFill="1" applyBorder="1" applyAlignment="1" applyProtection="1">
      <alignment horizontal="center"/>
      <protection locked="0"/>
    </xf>
    <xf numFmtId="172" fontId="8" fillId="5" borderId="6" xfId="0" applyNumberFormat="1" applyFont="1" applyFill="1" applyBorder="1" applyAlignment="1" applyProtection="1">
      <alignment horizontal="right"/>
      <protection locked="0"/>
    </xf>
    <xf numFmtId="172" fontId="8" fillId="5" borderId="0" xfId="0" applyNumberFormat="1" applyFont="1" applyFill="1" applyBorder="1" applyAlignment="1" applyProtection="1">
      <alignment horizontal="left"/>
      <protection locked="0"/>
    </xf>
    <xf numFmtId="188" fontId="8" fillId="5" borderId="15" xfId="0" applyNumberFormat="1" applyFont="1" applyFill="1" applyBorder="1" applyAlignment="1" applyProtection="1">
      <alignment horizontal="right"/>
      <protection locked="0"/>
    </xf>
    <xf numFmtId="173" fontId="8" fillId="5" borderId="0" xfId="0" applyNumberFormat="1" applyFont="1" applyFill="1" applyBorder="1" applyAlignment="1" applyProtection="1">
      <alignment horizontal="right"/>
      <protection locked="0"/>
    </xf>
    <xf numFmtId="188" fontId="0" fillId="5" borderId="15" xfId="0" applyNumberFormat="1" applyFill="1" applyBorder="1" applyAlignment="1" applyProtection="1">
      <alignment horizontal="right"/>
      <protection locked="0"/>
    </xf>
    <xf numFmtId="1" fontId="8" fillId="5" borderId="6" xfId="0" applyNumberFormat="1" applyFont="1" applyFill="1" applyBorder="1" applyAlignment="1" applyProtection="1">
      <alignment/>
      <protection locked="0"/>
    </xf>
    <xf numFmtId="188" fontId="8" fillId="5" borderId="32" xfId="0" applyNumberFormat="1" applyFont="1" applyFill="1" applyBorder="1" applyAlignment="1" applyProtection="1">
      <alignment horizontal="right"/>
      <protection locked="0"/>
    </xf>
    <xf numFmtId="188" fontId="8" fillId="5" borderId="6" xfId="0" applyNumberFormat="1" applyFont="1" applyFill="1" applyBorder="1" applyAlignment="1" applyProtection="1">
      <alignment/>
      <protection locked="0"/>
    </xf>
    <xf numFmtId="188" fontId="8" fillId="5" borderId="15" xfId="0" applyNumberFormat="1" applyFont="1" applyFill="1" applyBorder="1" applyAlignment="1" applyProtection="1">
      <alignment/>
      <protection locked="0"/>
    </xf>
    <xf numFmtId="1" fontId="8" fillId="5" borderId="14" xfId="0" applyNumberFormat="1" applyFont="1" applyFill="1" applyBorder="1" applyAlignment="1" applyProtection="1">
      <alignment/>
      <protection locked="0"/>
    </xf>
    <xf numFmtId="0" fontId="0" fillId="5" borderId="14" xfId="0" applyNumberFormat="1" applyFill="1" applyBorder="1" applyAlignment="1" applyProtection="1">
      <alignment/>
      <protection locked="0"/>
    </xf>
    <xf numFmtId="15" fontId="8" fillId="0" borderId="13" xfId="0" applyNumberFormat="1" applyFont="1" applyBorder="1" applyAlignment="1" applyProtection="1">
      <alignment horizontal="center"/>
      <protection locked="0"/>
    </xf>
    <xf numFmtId="172" fontId="8" fillId="0" borderId="6" xfId="0" applyNumberFormat="1" applyFont="1" applyBorder="1" applyAlignment="1" applyProtection="1">
      <alignment horizontal="right"/>
      <protection locked="0"/>
    </xf>
    <xf numFmtId="172" fontId="8" fillId="0" borderId="0" xfId="0" applyNumberFormat="1" applyFont="1" applyBorder="1" applyAlignment="1" applyProtection="1">
      <alignment horizontal="left"/>
      <protection locked="0"/>
    </xf>
    <xf numFmtId="188" fontId="8" fillId="0" borderId="15" xfId="0" applyNumberFormat="1" applyFont="1" applyBorder="1" applyAlignment="1" applyProtection="1">
      <alignment horizontal="right"/>
      <protection locked="0"/>
    </xf>
    <xf numFmtId="173" fontId="8" fillId="0" borderId="0" xfId="0" applyNumberFormat="1" applyFont="1" applyBorder="1" applyAlignment="1" applyProtection="1">
      <alignment horizontal="right"/>
      <protection locked="0"/>
    </xf>
    <xf numFmtId="188" fontId="0" fillId="0" borderId="15" xfId="0" applyNumberFormat="1" applyBorder="1" applyAlignment="1" applyProtection="1">
      <alignment horizontal="right"/>
      <protection locked="0"/>
    </xf>
    <xf numFmtId="1" fontId="8" fillId="0" borderId="6" xfId="0" applyNumberFormat="1" applyFont="1" applyBorder="1" applyAlignment="1" applyProtection="1">
      <alignment/>
      <protection locked="0"/>
    </xf>
    <xf numFmtId="188" fontId="8" fillId="0" borderId="32" xfId="0" applyNumberFormat="1" applyFont="1" applyBorder="1" applyAlignment="1" applyProtection="1">
      <alignment horizontal="right"/>
      <protection locked="0"/>
    </xf>
    <xf numFmtId="188" fontId="8" fillId="0" borderId="6" xfId="0" applyNumberFormat="1" applyFont="1" applyBorder="1" applyAlignment="1" applyProtection="1">
      <alignment/>
      <protection locked="0"/>
    </xf>
    <xf numFmtId="188" fontId="8" fillId="0" borderId="15" xfId="0" applyNumberFormat="1" applyFont="1" applyBorder="1" applyAlignment="1" applyProtection="1">
      <alignment/>
      <protection locked="0"/>
    </xf>
    <xf numFmtId="1" fontId="8" fillId="0" borderId="14" xfId="0" applyNumberFormat="1" applyFon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/>
    </xf>
    <xf numFmtId="0" fontId="0" fillId="0" borderId="35" xfId="0" applyNumberFormat="1" applyBorder="1" applyAlignment="1" applyProtection="1">
      <alignment/>
      <protection locked="0"/>
    </xf>
    <xf numFmtId="0" fontId="9" fillId="6" borderId="36" xfId="0" applyFont="1" applyFill="1" applyBorder="1" applyAlignment="1" applyProtection="1">
      <alignment/>
      <protection locked="0"/>
    </xf>
    <xf numFmtId="0" fontId="10" fillId="6" borderId="3" xfId="0" applyFont="1" applyFill="1" applyBorder="1" applyAlignment="1" applyProtection="1">
      <alignment/>
      <protection locked="0"/>
    </xf>
    <xf numFmtId="0" fontId="10" fillId="6" borderId="4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 horizontal="centerContinuous"/>
      <protection locked="0"/>
    </xf>
    <xf numFmtId="0" fontId="8" fillId="5" borderId="35" xfId="0" applyFont="1" applyFill="1" applyBorder="1" applyAlignment="1" applyProtection="1">
      <alignment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15" fontId="8" fillId="0" borderId="16" xfId="0" applyNumberFormat="1" applyFont="1" applyBorder="1" applyAlignment="1" applyProtection="1">
      <alignment horizontal="center"/>
      <protection locked="0"/>
    </xf>
    <xf numFmtId="172" fontId="8" fillId="0" borderId="37" xfId="0" applyNumberFormat="1" applyFont="1" applyBorder="1" applyAlignment="1" applyProtection="1">
      <alignment horizontal="right"/>
      <protection locked="0"/>
    </xf>
    <xf numFmtId="172" fontId="8" fillId="0" borderId="23" xfId="0" applyNumberFormat="1" applyFont="1" applyBorder="1" applyAlignment="1" applyProtection="1">
      <alignment horizontal="left"/>
      <protection locked="0"/>
    </xf>
    <xf numFmtId="188" fontId="8" fillId="0" borderId="38" xfId="0" applyNumberFormat="1" applyFont="1" applyBorder="1" applyAlignment="1" applyProtection="1">
      <alignment horizontal="right"/>
      <protection locked="0"/>
    </xf>
    <xf numFmtId="173" fontId="8" fillId="0" borderId="23" xfId="0" applyNumberFormat="1" applyFont="1" applyBorder="1" applyAlignment="1" applyProtection="1">
      <alignment horizontal="right"/>
      <protection locked="0"/>
    </xf>
    <xf numFmtId="188" fontId="0" fillId="0" borderId="38" xfId="0" applyNumberFormat="1" applyBorder="1" applyAlignment="1" applyProtection="1">
      <alignment horizontal="right"/>
      <protection locked="0"/>
    </xf>
    <xf numFmtId="1" fontId="8" fillId="0" borderId="37" xfId="0" applyNumberFormat="1" applyFont="1" applyBorder="1" applyAlignment="1" applyProtection="1">
      <alignment/>
      <protection locked="0"/>
    </xf>
    <xf numFmtId="188" fontId="8" fillId="0" borderId="39" xfId="0" applyNumberFormat="1" applyFont="1" applyBorder="1" applyAlignment="1" applyProtection="1">
      <alignment horizontal="right"/>
      <protection locked="0"/>
    </xf>
    <xf numFmtId="188" fontId="8" fillId="0" borderId="37" xfId="0" applyNumberFormat="1" applyFont="1" applyBorder="1" applyAlignment="1" applyProtection="1">
      <alignment/>
      <protection locked="0"/>
    </xf>
    <xf numFmtId="188" fontId="8" fillId="0" borderId="38" xfId="0" applyNumberFormat="1" applyFont="1" applyBorder="1" applyAlignment="1" applyProtection="1">
      <alignment/>
      <protection locked="0"/>
    </xf>
    <xf numFmtId="1" fontId="8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2" fillId="7" borderId="35" xfId="0" applyFont="1" applyFill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 locked="0"/>
    </xf>
    <xf numFmtId="188" fontId="0" fillId="0" borderId="0" xfId="0" applyNumberFormat="1" applyAlignment="1" applyProtection="1">
      <alignment/>
      <protection locked="0"/>
    </xf>
    <xf numFmtId="188" fontId="4" fillId="0" borderId="7" xfId="0" applyNumberFormat="1" applyFont="1" applyBorder="1" applyAlignment="1" applyProtection="1">
      <alignment/>
      <protection/>
    </xf>
    <xf numFmtId="188" fontId="4" fillId="0" borderId="29" xfId="0" applyNumberFormat="1" applyFont="1" applyBorder="1" applyAlignment="1" applyProtection="1">
      <alignment/>
      <protection/>
    </xf>
    <xf numFmtId="1" fontId="4" fillId="0" borderId="29" xfId="0" applyNumberFormat="1" applyFont="1" applyBorder="1" applyAlignment="1" applyProtection="1">
      <alignment/>
      <protection/>
    </xf>
    <xf numFmtId="186" fontId="4" fillId="0" borderId="9" xfId="0" applyNumberFormat="1" applyFont="1" applyBorder="1" applyAlignment="1" applyProtection="1">
      <alignment/>
      <protection/>
    </xf>
    <xf numFmtId="0" fontId="11" fillId="3" borderId="13" xfId="0" applyFont="1" applyFill="1" applyBorder="1" applyAlignment="1" applyProtection="1">
      <alignment horizontal="right"/>
      <protection locked="0"/>
    </xf>
    <xf numFmtId="0" fontId="12" fillId="3" borderId="14" xfId="0" applyFont="1" applyFill="1" applyBorder="1" applyAlignment="1" applyProtection="1">
      <alignment horizontal="right"/>
      <protection locked="0"/>
    </xf>
    <xf numFmtId="188" fontId="13" fillId="0" borderId="12" xfId="0" applyNumberFormat="1" applyFont="1" applyBorder="1" applyAlignment="1" applyProtection="1">
      <alignment/>
      <protection locked="0"/>
    </xf>
    <xf numFmtId="188" fontId="13" fillId="0" borderId="0" xfId="0" applyNumberFormat="1" applyFont="1" applyBorder="1" applyAlignment="1" applyProtection="1">
      <alignment/>
      <protection locked="0"/>
    </xf>
    <xf numFmtId="40" fontId="13" fillId="0" borderId="0" xfId="0" applyNumberFormat="1" applyFont="1" applyBorder="1" applyAlignment="1" applyProtection="1">
      <alignment/>
      <protection locked="0"/>
    </xf>
    <xf numFmtId="40" fontId="13" fillId="0" borderId="14" xfId="0" applyNumberFormat="1" applyFont="1" applyBorder="1" applyAlignment="1" applyProtection="1">
      <alignment/>
      <protection locked="0"/>
    </xf>
    <xf numFmtId="188" fontId="14" fillId="0" borderId="40" xfId="0" applyNumberFormat="1" applyFont="1" applyBorder="1" applyAlignment="1" applyProtection="1">
      <alignment/>
      <protection locked="0"/>
    </xf>
    <xf numFmtId="188" fontId="4" fillId="0" borderId="41" xfId="0" applyNumberFormat="1" applyFont="1" applyBorder="1" applyAlignment="1" applyProtection="1">
      <alignment horizontal="center"/>
      <protection locked="0"/>
    </xf>
    <xf numFmtId="40" fontId="4" fillId="0" borderId="41" xfId="0" applyNumberFormat="1" applyFont="1" applyBorder="1" applyAlignment="1" applyProtection="1">
      <alignment horizontal="center"/>
      <protection locked="0"/>
    </xf>
    <xf numFmtId="40" fontId="4" fillId="0" borderId="42" xfId="0" applyNumberFormat="1" applyFont="1" applyBorder="1" applyAlignment="1" applyProtection="1">
      <alignment horizontal="center"/>
      <protection locked="0"/>
    </xf>
    <xf numFmtId="188" fontId="13" fillId="0" borderId="43" xfId="0" applyNumberFormat="1" applyFont="1" applyBorder="1" applyAlignment="1" applyProtection="1">
      <alignment/>
      <protection locked="0"/>
    </xf>
    <xf numFmtId="188" fontId="15" fillId="0" borderId="44" xfId="0" applyNumberFormat="1" applyFont="1" applyBorder="1" applyAlignment="1" applyProtection="1">
      <alignment horizontal="center"/>
      <protection locked="0"/>
    </xf>
    <xf numFmtId="40" fontId="15" fillId="0" borderId="44" xfId="0" applyNumberFormat="1" applyFont="1" applyBorder="1" applyAlignment="1" applyProtection="1">
      <alignment horizontal="center"/>
      <protection locked="0"/>
    </xf>
    <xf numFmtId="40" fontId="15" fillId="0" borderId="45" xfId="0" applyNumberFormat="1" applyFont="1" applyBorder="1" applyAlignment="1" applyProtection="1">
      <alignment horizontal="center"/>
      <protection locked="0"/>
    </xf>
    <xf numFmtId="188" fontId="4" fillId="0" borderId="12" xfId="0" applyNumberFormat="1" applyFont="1" applyBorder="1" applyAlignment="1" applyProtection="1">
      <alignment/>
      <protection/>
    </xf>
    <xf numFmtId="188" fontId="4" fillId="0" borderId="0" xfId="0" applyNumberFormat="1" applyFont="1" applyBorder="1" applyAlignment="1" applyProtection="1">
      <alignment horizontal="center"/>
      <protection locked="0"/>
    </xf>
    <xf numFmtId="40" fontId="4" fillId="0" borderId="0" xfId="0" applyNumberFormat="1" applyFont="1" applyBorder="1" applyAlignment="1" applyProtection="1">
      <alignment horizontal="center"/>
      <protection locked="0"/>
    </xf>
    <xf numFmtId="40" fontId="4" fillId="0" borderId="14" xfId="0" applyNumberFormat="1" applyFont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right"/>
      <protection locked="0"/>
    </xf>
    <xf numFmtId="0" fontId="12" fillId="3" borderId="18" xfId="0" applyFont="1" applyFill="1" applyBorder="1" applyAlignment="1" applyProtection="1">
      <alignment horizontal="right"/>
      <protection locked="0"/>
    </xf>
    <xf numFmtId="188" fontId="13" fillId="0" borderId="17" xfId="0" applyNumberFormat="1" applyFont="1" applyBorder="1" applyAlignment="1" applyProtection="1">
      <alignment/>
      <protection locked="0"/>
    </xf>
    <xf numFmtId="188" fontId="15" fillId="0" borderId="23" xfId="0" applyNumberFormat="1" applyFont="1" applyBorder="1" applyAlignment="1" applyProtection="1">
      <alignment horizontal="center"/>
      <protection locked="0"/>
    </xf>
    <xf numFmtId="180" fontId="15" fillId="0" borderId="23" xfId="0" applyNumberFormat="1" applyFont="1" applyBorder="1" applyAlignment="1" applyProtection="1">
      <alignment horizontal="center"/>
      <protection locked="0"/>
    </xf>
    <xf numFmtId="180" fontId="15" fillId="0" borderId="18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8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>
      <alignment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2" xfId="0" applyNumberFormat="1" applyBorder="1" applyAlignment="1">
      <alignment/>
    </xf>
    <xf numFmtId="2" fontId="0" fillId="0" borderId="54" xfId="0" applyNumberFormat="1" applyBorder="1" applyAlignment="1">
      <alignment/>
    </xf>
    <xf numFmtId="2" fontId="0" fillId="0" borderId="54" xfId="0" applyNumberFormat="1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/>
    </xf>
    <xf numFmtId="0" fontId="0" fillId="0" borderId="54" xfId="0" applyNumberFormat="1" applyBorder="1" applyAlignment="1" applyProtection="1">
      <alignment/>
      <protection/>
    </xf>
    <xf numFmtId="2" fontId="0" fillId="0" borderId="54" xfId="0" applyNumberFormat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0" fontId="0" fillId="0" borderId="55" xfId="0" applyNumberFormat="1" applyBorder="1" applyAlignment="1" applyProtection="1">
      <alignment/>
      <protection locked="0"/>
    </xf>
    <xf numFmtId="2" fontId="0" fillId="0" borderId="55" xfId="0" applyNumberFormat="1" applyBorder="1" applyAlignment="1" applyProtection="1">
      <alignment/>
      <protection locked="0"/>
    </xf>
    <xf numFmtId="2" fontId="0" fillId="0" borderId="56" xfId="0" applyNumberFormat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2" fontId="17" fillId="0" borderId="0" xfId="0" applyNumberFormat="1" applyFont="1" applyAlignment="1" applyProtection="1">
      <alignment/>
      <protection/>
    </xf>
    <xf numFmtId="188" fontId="10" fillId="0" borderId="30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49" fontId="8" fillId="5" borderId="35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4" fillId="8" borderId="59" xfId="0" applyFont="1" applyFill="1" applyBorder="1" applyAlignment="1" applyProtection="1">
      <alignment horizontal="centerContinuous"/>
      <protection locked="0"/>
    </xf>
    <xf numFmtId="0" fontId="14" fillId="9" borderId="0" xfId="0" applyFont="1" applyFill="1" applyBorder="1" applyAlignment="1" applyProtection="1">
      <alignment horizontal="center" wrapText="1"/>
      <protection/>
    </xf>
    <xf numFmtId="0" fontId="8" fillId="9" borderId="60" xfId="0" applyNumberFormat="1" applyFont="1" applyFill="1" applyBorder="1" applyAlignment="1" applyProtection="1">
      <alignment wrapText="1"/>
      <protection/>
    </xf>
    <xf numFmtId="0" fontId="8" fillId="9" borderId="0" xfId="0" applyFont="1" applyFill="1" applyBorder="1" applyAlignment="1" applyProtection="1">
      <alignment wrapText="1"/>
      <protection/>
    </xf>
    <xf numFmtId="0" fontId="8" fillId="9" borderId="60" xfId="0" applyFont="1" applyFill="1" applyBorder="1" applyAlignment="1" applyProtection="1">
      <alignment wrapText="1"/>
      <protection/>
    </xf>
    <xf numFmtId="0" fontId="2" fillId="2" borderId="1" xfId="0" applyFont="1" applyFill="1" applyBorder="1" applyAlignment="1" applyProtection="1">
      <alignment horizontal="centerContinuous" wrapText="1"/>
      <protection/>
    </xf>
    <xf numFmtId="2" fontId="4" fillId="8" borderId="59" xfId="0" applyNumberFormat="1" applyFont="1" applyFill="1" applyBorder="1" applyAlignment="1" applyProtection="1">
      <alignment horizontal="centerContinuous"/>
      <protection hidden="1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2" fillId="3" borderId="61" xfId="0" applyFont="1" applyFill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14" fillId="9" borderId="63" xfId="0" applyFont="1" applyFill="1" applyBorder="1" applyAlignment="1" applyProtection="1">
      <alignment horizontal="center" wrapText="1"/>
      <protection/>
    </xf>
    <xf numFmtId="0" fontId="14" fillId="9" borderId="64" xfId="0" applyFont="1" applyFill="1" applyBorder="1" applyAlignment="1" applyProtection="1">
      <alignment horizontal="center" wrapText="1"/>
      <protection/>
    </xf>
    <xf numFmtId="0" fontId="8" fillId="9" borderId="65" xfId="0" applyFont="1" applyFill="1" applyBorder="1" applyAlignment="1" applyProtection="1">
      <alignment wrapText="1"/>
      <protection/>
    </xf>
    <xf numFmtId="0" fontId="8" fillId="9" borderId="66" xfId="0" applyNumberFormat="1" applyFont="1" applyFill="1" applyBorder="1" applyAlignment="1" applyProtection="1">
      <alignment wrapText="1"/>
      <protection/>
    </xf>
    <xf numFmtId="0" fontId="8" fillId="9" borderId="63" xfId="0" applyFont="1" applyFill="1" applyBorder="1" applyAlignment="1" applyProtection="1">
      <alignment wrapText="1"/>
      <protection/>
    </xf>
    <xf numFmtId="0" fontId="8" fillId="9" borderId="64" xfId="0" applyFont="1" applyFill="1" applyBorder="1" applyAlignment="1" applyProtection="1">
      <alignment wrapText="1"/>
      <protection/>
    </xf>
    <xf numFmtId="0" fontId="8" fillId="9" borderId="66" xfId="0" applyFont="1" applyFill="1" applyBorder="1" applyAlignment="1" applyProtection="1">
      <alignment wrapText="1"/>
      <protection/>
    </xf>
    <xf numFmtId="0" fontId="2" fillId="2" borderId="67" xfId="0" applyFont="1" applyFill="1" applyBorder="1" applyAlignment="1" applyProtection="1">
      <alignment horizontal="centerContinuous" wrapText="1"/>
      <protection/>
    </xf>
    <xf numFmtId="0" fontId="0" fillId="0" borderId="63" xfId="0" applyBorder="1" applyAlignment="1" applyProtection="1">
      <alignment/>
      <protection locked="0"/>
    </xf>
    <xf numFmtId="0" fontId="4" fillId="6" borderId="63" xfId="0" applyFont="1" applyFill="1" applyBorder="1" applyAlignment="1" applyProtection="1">
      <alignment horizontal="center" wrapText="1"/>
      <protection/>
    </xf>
    <xf numFmtId="0" fontId="0" fillId="6" borderId="0" xfId="0" applyFill="1" applyBorder="1" applyAlignment="1" applyProtection="1">
      <alignment/>
      <protection/>
    </xf>
    <xf numFmtId="0" fontId="0" fillId="6" borderId="64" xfId="0" applyFill="1" applyBorder="1" applyAlignment="1" applyProtection="1">
      <alignment/>
      <protection/>
    </xf>
    <xf numFmtId="0" fontId="0" fillId="6" borderId="63" xfId="0" applyFill="1" applyBorder="1" applyAlignment="1" applyProtection="1">
      <alignment/>
      <protection/>
    </xf>
    <xf numFmtId="0" fontId="0" fillId="6" borderId="63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64" xfId="0" applyFill="1" applyBorder="1" applyAlignment="1">
      <alignment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0" fillId="6" borderId="68" xfId="0" applyFill="1" applyBorder="1" applyAlignment="1">
      <alignment/>
    </xf>
    <xf numFmtId="0" fontId="0" fillId="6" borderId="69" xfId="0" applyFill="1" applyBorder="1" applyAlignment="1">
      <alignment/>
    </xf>
    <xf numFmtId="0" fontId="0" fillId="6" borderId="70" xfId="0" applyFill="1" applyBorder="1" applyAlignment="1">
      <alignment/>
    </xf>
    <xf numFmtId="0" fontId="0" fillId="6" borderId="0" xfId="0" applyFill="1" applyBorder="1" applyAlignment="1" applyProtection="1">
      <alignment/>
      <protection locked="0"/>
    </xf>
    <xf numFmtId="0" fontId="8" fillId="6" borderId="0" xfId="0" applyFont="1" applyFill="1" applyBorder="1" applyAlignment="1" applyProtection="1">
      <alignment/>
      <protection locked="0"/>
    </xf>
    <xf numFmtId="0" fontId="8" fillId="6" borderId="0" xfId="0" applyFont="1" applyFill="1" applyBorder="1" applyAlignment="1" applyProtection="1">
      <alignment/>
      <protection/>
    </xf>
    <xf numFmtId="0" fontId="8" fillId="6" borderId="64" xfId="0" applyFont="1" applyFill="1" applyBorder="1" applyAlignment="1" applyProtection="1">
      <alignment/>
      <protection/>
    </xf>
    <xf numFmtId="0" fontId="2" fillId="2" borderId="36" xfId="0" applyFont="1" applyFill="1" applyBorder="1" applyAlignment="1" applyProtection="1">
      <alignment horizontal="center"/>
      <protection locked="0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3" borderId="73" xfId="0" applyFont="1" applyFill="1" applyBorder="1" applyAlignment="1" applyProtection="1">
      <alignment horizont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2" fillId="3" borderId="75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76" xfId="0" applyNumberFormat="1" applyFont="1" applyBorder="1" applyAlignment="1" applyProtection="1">
      <alignment horizontal="center"/>
      <protection locked="0"/>
    </xf>
    <xf numFmtId="0" fontId="0" fillId="0" borderId="77" xfId="0" applyFont="1" applyBorder="1" applyAlignment="1" applyProtection="1">
      <alignment horizontal="center"/>
      <protection locked="0"/>
    </xf>
    <xf numFmtId="0" fontId="0" fillId="0" borderId="78" xfId="0" applyNumberFormat="1" applyBorder="1" applyAlignment="1" applyProtection="1">
      <alignment horizontal="center" shrinkToFit="1"/>
      <protection/>
    </xf>
    <xf numFmtId="0" fontId="0" fillId="0" borderId="79" xfId="0" applyNumberFormat="1" applyBorder="1" applyAlignment="1" applyProtection="1">
      <alignment horizontal="center" shrinkToFit="1"/>
      <protection/>
    </xf>
    <xf numFmtId="0" fontId="0" fillId="0" borderId="80" xfId="0" applyNumberFormat="1" applyBorder="1" applyAlignment="1" applyProtection="1">
      <alignment horizontal="center" shrinkToFit="1"/>
      <protection locked="0"/>
    </xf>
    <xf numFmtId="0" fontId="0" fillId="0" borderId="81" xfId="0" applyNumberFormat="1" applyBorder="1" applyAlignment="1" applyProtection="1">
      <alignment horizontal="center" shrinkToFit="1"/>
      <protection locked="0"/>
    </xf>
    <xf numFmtId="0" fontId="2" fillId="3" borderId="62" xfId="0" applyFont="1" applyFill="1" applyBorder="1" applyAlignment="1" applyProtection="1">
      <alignment horizontal="center"/>
      <protection locked="0"/>
    </xf>
    <xf numFmtId="0" fontId="8" fillId="5" borderId="5" xfId="0" applyFont="1" applyFill="1" applyBorder="1" applyAlignment="1" applyProtection="1">
      <alignment/>
      <protection locked="0"/>
    </xf>
    <xf numFmtId="0" fontId="8" fillId="5" borderId="0" xfId="0" applyFont="1" applyFill="1" applyBorder="1" applyAlignment="1" applyProtection="1">
      <alignment/>
      <protection locked="0"/>
    </xf>
    <xf numFmtId="0" fontId="8" fillId="5" borderId="6" xfId="0" applyFont="1" applyFill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6" xfId="0" applyFont="1" applyBorder="1" applyAlignment="1" applyProtection="1">
      <alignment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 applyProtection="1">
      <alignment/>
      <protection locked="0"/>
    </xf>
    <xf numFmtId="0" fontId="2" fillId="3" borderId="18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8" fillId="0" borderId="82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0" borderId="37" xfId="0" applyFont="1" applyBorder="1" applyAlignment="1" applyProtection="1">
      <alignment/>
      <protection locked="0"/>
    </xf>
    <xf numFmtId="0" fontId="2" fillId="3" borderId="83" xfId="0" applyFont="1" applyFill="1" applyBorder="1" applyAlignment="1" applyProtection="1">
      <alignment horizontal="center"/>
      <protection locked="0"/>
    </xf>
    <xf numFmtId="0" fontId="2" fillId="3" borderId="29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9" xfId="0" applyFont="1" applyFill="1" applyBorder="1" applyAlignment="1" applyProtection="1">
      <alignment/>
      <protection locked="0"/>
    </xf>
    <xf numFmtId="0" fontId="2" fillId="3" borderId="13" xfId="0" applyFont="1" applyFill="1" applyBorder="1" applyAlignment="1" applyProtection="1">
      <alignment/>
      <protection locked="0"/>
    </xf>
    <xf numFmtId="0" fontId="2" fillId="3" borderId="14" xfId="0" applyFont="1" applyFill="1" applyBorder="1" applyAlignment="1" applyProtection="1">
      <alignment/>
      <protection locked="0"/>
    </xf>
    <xf numFmtId="0" fontId="0" fillId="0" borderId="78" xfId="0" applyBorder="1" applyAlignment="1" applyProtection="1">
      <alignment horizontal="center" shrinkToFit="1"/>
      <protection locked="0"/>
    </xf>
    <xf numFmtId="0" fontId="0" fillId="0" borderId="79" xfId="0" applyBorder="1" applyAlignment="1" applyProtection="1">
      <alignment horizontal="center" shrinkToFit="1"/>
      <protection locked="0"/>
    </xf>
    <xf numFmtId="1" fontId="0" fillId="0" borderId="78" xfId="0" applyNumberFormat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2" fillId="3" borderId="12" xfId="0" applyFont="1" applyFill="1" applyBorder="1" applyAlignment="1" applyProtection="1">
      <alignment horizontal="left" vertical="top"/>
      <protection locked="0"/>
    </xf>
    <xf numFmtId="0" fontId="2" fillId="3" borderId="17" xfId="0" applyFont="1" applyFill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79" fontId="0" fillId="0" borderId="5" xfId="0" applyNumberFormat="1" applyBorder="1" applyAlignment="1" applyProtection="1">
      <alignment horizontal="center"/>
      <protection locked="0"/>
    </xf>
    <xf numFmtId="179" fontId="0" fillId="0" borderId="6" xfId="0" applyNumberForma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0" fillId="0" borderId="85" xfId="0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/>
    </xf>
    <xf numFmtId="0" fontId="0" fillId="0" borderId="78" xfId="0" applyBorder="1" applyAlignment="1" applyProtection="1">
      <alignment horizontal="center"/>
      <protection/>
    </xf>
    <xf numFmtId="0" fontId="0" fillId="0" borderId="86" xfId="0" applyBorder="1" applyAlignment="1" applyProtection="1">
      <alignment horizontal="center"/>
      <protection/>
    </xf>
    <xf numFmtId="0" fontId="0" fillId="0" borderId="86" xfId="0" applyBorder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5" fontId="0" fillId="0" borderId="80" xfId="0" applyNumberFormat="1" applyBorder="1" applyAlignment="1" applyProtection="1">
      <alignment horizontal="center" shrinkToFit="1"/>
      <protection/>
    </xf>
    <xf numFmtId="15" fontId="0" fillId="0" borderId="81" xfId="0" applyNumberFormat="1" applyBorder="1" applyAlignment="1" applyProtection="1">
      <alignment horizontal="center" shrinkToFit="1"/>
      <protection/>
    </xf>
    <xf numFmtId="15" fontId="0" fillId="0" borderId="78" xfId="0" applyNumberFormat="1" applyBorder="1" applyAlignment="1" applyProtection="1">
      <alignment horizontal="center" shrinkToFit="1"/>
      <protection/>
    </xf>
    <xf numFmtId="15" fontId="0" fillId="0" borderId="79" xfId="0" applyNumberFormat="1" applyBorder="1" applyAlignment="1" applyProtection="1">
      <alignment horizontal="center" shrinkToFit="1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49" fontId="5" fillId="0" borderId="76" xfId="0" applyNumberFormat="1" applyFont="1" applyBorder="1" applyAlignment="1" applyProtection="1">
      <alignment horizontal="center"/>
      <protection locked="0"/>
    </xf>
    <xf numFmtId="0" fontId="5" fillId="0" borderId="77" xfId="0" applyFont="1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 shrinkToFit="1"/>
      <protection locked="0"/>
    </xf>
    <xf numFmtId="0" fontId="0" fillId="0" borderId="81" xfId="0" applyBorder="1" applyAlignment="1" applyProtection="1">
      <alignment horizontal="center" shrinkToFit="1"/>
      <protection locked="0"/>
    </xf>
    <xf numFmtId="0" fontId="0" fillId="0" borderId="78" xfId="0" applyNumberFormat="1" applyBorder="1" applyAlignment="1" applyProtection="1">
      <alignment horizontal="center" shrinkToFit="1"/>
      <protection locked="0"/>
    </xf>
    <xf numFmtId="0" fontId="0" fillId="0" borderId="79" xfId="0" applyNumberFormat="1" applyBorder="1" applyAlignment="1" applyProtection="1">
      <alignment horizontal="center" shrinkToFit="1"/>
      <protection locked="0"/>
    </xf>
    <xf numFmtId="179" fontId="0" fillId="0" borderId="87" xfId="0" applyNumberFormat="1" applyBorder="1" applyAlignment="1" applyProtection="1">
      <alignment horizontal="center"/>
      <protection locked="0"/>
    </xf>
    <xf numFmtId="0" fontId="0" fillId="0" borderId="88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0" fontId="0" fillId="0" borderId="89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8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10" borderId="90" xfId="0" applyFont="1" applyFill="1" applyBorder="1" applyAlignment="1" applyProtection="1">
      <alignment horizontal="center" vertical="top"/>
      <protection/>
    </xf>
    <xf numFmtId="0" fontId="2" fillId="10" borderId="91" xfId="0" applyFont="1" applyFill="1" applyBorder="1" applyAlignment="1" applyProtection="1">
      <alignment horizontal="center" vertical="top"/>
      <protection/>
    </xf>
    <xf numFmtId="0" fontId="2" fillId="10" borderId="92" xfId="0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4</xdr:row>
      <xdr:rowOff>152400</xdr:rowOff>
    </xdr:from>
    <xdr:to>
      <xdr:col>3</xdr:col>
      <xdr:colOff>781050</xdr:colOff>
      <xdr:row>6</xdr:row>
      <xdr:rowOff>28575</xdr:rowOff>
    </xdr:to>
    <xdr:pic macro="[0]!Calc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83820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4</xdr:row>
      <xdr:rowOff>85725</xdr:rowOff>
    </xdr:from>
    <xdr:to>
      <xdr:col>3</xdr:col>
      <xdr:colOff>514350</xdr:colOff>
      <xdr:row>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77152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95250</xdr:rowOff>
    </xdr:from>
    <xdr:to>
      <xdr:col>2</xdr:col>
      <xdr:colOff>523875</xdr:colOff>
      <xdr:row>6</xdr:row>
      <xdr:rowOff>57150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85750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29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4181475" cy="526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J72"/>
  <sheetViews>
    <sheetView showGridLines="0" showZeros="0" tabSelected="1" zoomScale="88" zoomScaleNormal="88" workbookViewId="0" topLeftCell="A1">
      <selection activeCell="F3" sqref="F3:G3"/>
    </sheetView>
  </sheetViews>
  <sheetFormatPr defaultColWidth="11.421875" defaultRowHeight="12.75"/>
  <cols>
    <col min="1" max="1" width="1.7109375" style="1" customWidth="1"/>
    <col min="2" max="6" width="12.28125" style="1" customWidth="1"/>
    <col min="7" max="7" width="12.57421875" style="1" customWidth="1"/>
    <col min="8" max="11" width="8.7109375" style="1" customWidth="1"/>
    <col min="12" max="12" width="6.7109375" style="1" customWidth="1"/>
    <col min="13" max="13" width="8.7109375" style="1" customWidth="1"/>
    <col min="14" max="14" width="7.7109375" style="1" customWidth="1"/>
    <col min="15" max="15" width="8.28125" style="1" customWidth="1"/>
    <col min="16" max="16" width="7.7109375" style="1" customWidth="1"/>
    <col min="17" max="17" width="8.7109375" style="1" customWidth="1"/>
    <col min="18" max="18" width="11.421875" style="1" hidden="1" customWidth="1"/>
    <col min="19" max="20" width="11.421875" style="1" customWidth="1"/>
    <col min="21" max="21" width="32.140625" style="1" bestFit="1" customWidth="1"/>
    <col min="22" max="22" width="11.421875" style="1" customWidth="1"/>
    <col min="23" max="23" width="38.00390625" style="1" customWidth="1"/>
    <col min="24" max="25" width="12.7109375" style="1" customWidth="1"/>
    <col min="26" max="16384" width="11.421875" style="1" customWidth="1"/>
  </cols>
  <sheetData>
    <row r="1" spans="1:31" ht="15">
      <c r="A1" s="279" t="s">
        <v>139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1" t="s">
        <v>0</v>
      </c>
      <c r="U1" s="2" t="s">
        <v>1</v>
      </c>
      <c r="V1" s="2"/>
      <c r="W1" s="3" t="s">
        <v>2</v>
      </c>
      <c r="X1" s="4"/>
      <c r="Y1" s="4"/>
      <c r="Z1" s="5"/>
      <c r="AA1" s="6"/>
      <c r="AB1" s="2" t="s">
        <v>112</v>
      </c>
      <c r="AC1" s="2" t="s">
        <v>111</v>
      </c>
      <c r="AE1" s="2" t="s">
        <v>111</v>
      </c>
    </row>
    <row r="2" spans="21:31" ht="13.5" thickBot="1">
      <c r="U2" s="7" t="s">
        <v>3</v>
      </c>
      <c r="V2" s="8">
        <v>445660</v>
      </c>
      <c r="W2" s="9"/>
      <c r="X2" s="10"/>
      <c r="Y2" s="10"/>
      <c r="Z2" s="11"/>
      <c r="AA2" s="6"/>
      <c r="AB2" s="96"/>
      <c r="AC2" s="96" t="s">
        <v>119</v>
      </c>
      <c r="AE2" s="96" t="s">
        <v>117</v>
      </c>
    </row>
    <row r="3" spans="2:31" ht="12.75">
      <c r="B3" s="221"/>
      <c r="C3" s="221"/>
      <c r="D3" s="285"/>
      <c r="E3" s="12" t="s">
        <v>4</v>
      </c>
      <c r="F3" s="288" t="s">
        <v>5</v>
      </c>
      <c r="G3" s="289"/>
      <c r="I3" s="253" t="s">
        <v>6</v>
      </c>
      <c r="J3" s="254"/>
      <c r="K3" s="227" t="s">
        <v>7</v>
      </c>
      <c r="L3" s="228"/>
      <c r="N3" s="13" t="s">
        <v>8</v>
      </c>
      <c r="O3" s="14"/>
      <c r="P3" s="281">
        <f>MIN(B11:B25)</f>
        <v>38808</v>
      </c>
      <c r="Q3" s="282"/>
      <c r="U3" s="15" t="s">
        <v>9</v>
      </c>
      <c r="V3" s="16">
        <v>625133</v>
      </c>
      <c r="W3" s="9"/>
      <c r="X3" s="10"/>
      <c r="Y3" s="10"/>
      <c r="Z3" s="11"/>
      <c r="AA3" s="6"/>
      <c r="AB3" s="174" t="s">
        <v>26</v>
      </c>
      <c r="AC3" s="174" t="s">
        <v>26</v>
      </c>
      <c r="AE3" s="174" t="s">
        <v>118</v>
      </c>
    </row>
    <row r="4" spans="2:29" ht="12.75">
      <c r="B4" s="222"/>
      <c r="C4" s="222"/>
      <c r="D4" s="285"/>
      <c r="E4" s="17" t="s">
        <v>10</v>
      </c>
      <c r="F4" s="257" t="s">
        <v>11</v>
      </c>
      <c r="G4" s="258"/>
      <c r="I4" s="255" t="s">
        <v>12</v>
      </c>
      <c r="J4" s="256"/>
      <c r="K4" s="290">
        <v>10438</v>
      </c>
      <c r="L4" s="291"/>
      <c r="N4" s="18" t="s">
        <v>13</v>
      </c>
      <c r="O4" s="19"/>
      <c r="P4" s="283">
        <f>MAX(B11:B25)</f>
        <v>38811</v>
      </c>
      <c r="Q4" s="284"/>
      <c r="U4" s="20" t="s">
        <v>14</v>
      </c>
      <c r="V4" s="21">
        <v>625132</v>
      </c>
      <c r="W4" s="22"/>
      <c r="X4" s="23"/>
      <c r="Y4" s="23"/>
      <c r="Z4" s="25"/>
      <c r="AA4" s="26"/>
      <c r="AB4" s="174" t="s">
        <v>113</v>
      </c>
      <c r="AC4" s="174" t="s">
        <v>113</v>
      </c>
    </row>
    <row r="5" spans="2:29" ht="12.75">
      <c r="B5" s="222"/>
      <c r="C5" s="222"/>
      <c r="D5" s="285"/>
      <c r="E5" s="17" t="s">
        <v>15</v>
      </c>
      <c r="F5" s="259" t="s">
        <v>110</v>
      </c>
      <c r="G5" s="258"/>
      <c r="I5" s="255" t="s">
        <v>16</v>
      </c>
      <c r="J5" s="256"/>
      <c r="K5" s="259" t="s">
        <v>17</v>
      </c>
      <c r="L5" s="258"/>
      <c r="N5" s="18" t="s">
        <v>18</v>
      </c>
      <c r="O5" s="19"/>
      <c r="P5" s="225">
        <f>INT((P3-SUM(MOD(DATE(YEAR(P3-MOD(P3-2,7)+3),1,2),{1E+99;7})*{1;-1})+5)/7)</f>
        <v>13</v>
      </c>
      <c r="Q5" s="226"/>
      <c r="U5" s="27" t="s">
        <v>19</v>
      </c>
      <c r="V5" s="28">
        <v>625142</v>
      </c>
      <c r="W5" s="29" t="s">
        <v>20</v>
      </c>
      <c r="X5" s="30"/>
      <c r="Y5" s="30"/>
      <c r="Z5" s="31"/>
      <c r="AA5" s="26"/>
      <c r="AB5" s="174" t="s">
        <v>114</v>
      </c>
      <c r="AC5" s="174" t="s">
        <v>114</v>
      </c>
    </row>
    <row r="6" spans="2:29" ht="13.5" thickBot="1">
      <c r="B6" s="222"/>
      <c r="C6" s="222"/>
      <c r="D6" s="285"/>
      <c r="E6" s="32" t="s">
        <v>21</v>
      </c>
      <c r="F6" s="286" t="s">
        <v>22</v>
      </c>
      <c r="G6" s="287"/>
      <c r="I6" s="244" t="s">
        <v>23</v>
      </c>
      <c r="J6" s="245"/>
      <c r="K6" s="223" t="s">
        <v>24</v>
      </c>
      <c r="L6" s="224"/>
      <c r="N6" s="24" t="s">
        <v>25</v>
      </c>
      <c r="O6" s="33"/>
      <c r="P6" s="223" t="s">
        <v>26</v>
      </c>
      <c r="Q6" s="224"/>
      <c r="U6" s="20" t="s">
        <v>27</v>
      </c>
      <c r="V6" s="21">
        <v>625144</v>
      </c>
      <c r="W6" s="29" t="s">
        <v>28</v>
      </c>
      <c r="X6" s="30"/>
      <c r="Y6" s="30"/>
      <c r="Z6" s="31"/>
      <c r="AA6" s="26"/>
      <c r="AB6" s="174" t="s">
        <v>115</v>
      </c>
      <c r="AC6" s="174" t="s">
        <v>115</v>
      </c>
    </row>
    <row r="7" spans="21:29" ht="12.75">
      <c r="U7" s="27" t="s">
        <v>29</v>
      </c>
      <c r="V7" s="28">
        <v>625339</v>
      </c>
      <c r="W7" s="29" t="s">
        <v>30</v>
      </c>
      <c r="X7" s="30"/>
      <c r="Y7" s="30"/>
      <c r="Z7" s="31"/>
      <c r="AA7" s="26"/>
      <c r="AB7" s="174" t="s">
        <v>116</v>
      </c>
      <c r="AC7" s="174" t="s">
        <v>116</v>
      </c>
    </row>
    <row r="8" spans="21:29" ht="13.5" thickBot="1">
      <c r="U8" s="27" t="s">
        <v>31</v>
      </c>
      <c r="V8" s="28">
        <v>625339</v>
      </c>
      <c r="W8" s="29" t="s">
        <v>32</v>
      </c>
      <c r="X8" s="30"/>
      <c r="Y8" s="30"/>
      <c r="Z8" s="31"/>
      <c r="AA8" s="26"/>
      <c r="AB8" s="174"/>
      <c r="AC8" s="174"/>
    </row>
    <row r="9" spans="2:29" ht="12.75">
      <c r="B9" s="34" t="s">
        <v>33</v>
      </c>
      <c r="C9" s="250" t="s">
        <v>34</v>
      </c>
      <c r="D9" s="251"/>
      <c r="E9" s="252"/>
      <c r="F9" s="36" t="s">
        <v>35</v>
      </c>
      <c r="G9" s="36" t="s">
        <v>36</v>
      </c>
      <c r="H9" s="35" t="s">
        <v>37</v>
      </c>
      <c r="I9" s="36" t="s">
        <v>38</v>
      </c>
      <c r="J9" s="36" t="s">
        <v>39</v>
      </c>
      <c r="K9" s="36" t="s">
        <v>39</v>
      </c>
      <c r="L9" s="37" t="s">
        <v>40</v>
      </c>
      <c r="M9" s="38" t="s">
        <v>39</v>
      </c>
      <c r="N9" s="35" t="s">
        <v>41</v>
      </c>
      <c r="O9" s="36" t="s">
        <v>42</v>
      </c>
      <c r="P9" s="36" t="s">
        <v>43</v>
      </c>
      <c r="Q9" s="39" t="s">
        <v>44</v>
      </c>
      <c r="R9" s="39" t="s">
        <v>45</v>
      </c>
      <c r="U9" s="27" t="s">
        <v>46</v>
      </c>
      <c r="V9" s="28">
        <v>626136</v>
      </c>
      <c r="W9" s="29" t="s">
        <v>47</v>
      </c>
      <c r="X9" s="30"/>
      <c r="Y9" s="30"/>
      <c r="Z9" s="31"/>
      <c r="AA9" s="26"/>
      <c r="AB9" s="174"/>
      <c r="AC9" s="174"/>
    </row>
    <row r="10" spans="2:29" ht="13.5" thickBot="1">
      <c r="B10" s="40"/>
      <c r="C10" s="41"/>
      <c r="D10" s="42"/>
      <c r="E10" s="43"/>
      <c r="F10" s="45" t="s">
        <v>48</v>
      </c>
      <c r="G10" s="45" t="s">
        <v>49</v>
      </c>
      <c r="H10" s="43"/>
      <c r="I10" s="45" t="s">
        <v>3</v>
      </c>
      <c r="J10" s="45" t="s">
        <v>3</v>
      </c>
      <c r="K10" s="45" t="s">
        <v>50</v>
      </c>
      <c r="L10" s="46" t="s">
        <v>51</v>
      </c>
      <c r="M10" s="47" t="s">
        <v>9</v>
      </c>
      <c r="N10" s="48" t="s">
        <v>52</v>
      </c>
      <c r="O10" s="45" t="s">
        <v>52</v>
      </c>
      <c r="P10" s="45" t="s">
        <v>52</v>
      </c>
      <c r="Q10" s="49" t="s">
        <v>53</v>
      </c>
      <c r="R10" s="49"/>
      <c r="U10" s="27" t="s">
        <v>54</v>
      </c>
      <c r="V10" s="28">
        <v>625145</v>
      </c>
      <c r="W10" s="29" t="s">
        <v>55</v>
      </c>
      <c r="X10" s="30"/>
      <c r="Y10" s="30"/>
      <c r="Z10" s="31"/>
      <c r="AA10" s="26"/>
      <c r="AB10" s="174"/>
      <c r="AC10" s="174"/>
    </row>
    <row r="11" spans="1:29" ht="12.75">
      <c r="A11" s="173">
        <v>2</v>
      </c>
      <c r="B11" s="50">
        <v>38808</v>
      </c>
      <c r="C11" s="233" t="s">
        <v>106</v>
      </c>
      <c r="D11" s="234"/>
      <c r="E11" s="235"/>
      <c r="F11" s="51" t="s">
        <v>56</v>
      </c>
      <c r="G11" s="52" t="s">
        <v>14</v>
      </c>
      <c r="H11" s="172">
        <v>100</v>
      </c>
      <c r="I11" s="54" t="s">
        <v>57</v>
      </c>
      <c r="J11" s="53">
        <v>0</v>
      </c>
      <c r="K11" s="55">
        <f aca="true" t="shared" si="0" ref="K11:K25">ROUND(H11-J11,2)</f>
        <v>100</v>
      </c>
      <c r="L11" s="56">
        <v>2</v>
      </c>
      <c r="M11" s="57"/>
      <c r="N11" s="58">
        <v>100</v>
      </c>
      <c r="O11" s="59">
        <v>24</v>
      </c>
      <c r="P11" s="59">
        <v>5</v>
      </c>
      <c r="Q11" s="60">
        <v>300</v>
      </c>
      <c r="R11" s="61">
        <f aca="true" t="shared" si="1" ref="R11:R25">IF(ISNA(VLOOKUP(G11,$U$3:$V$18,2,FALSE)),"",VLOOKUP(G11,$U$3:$V$18,2,FALSE))</f>
        <v>625132</v>
      </c>
      <c r="U11" s="27" t="s">
        <v>58</v>
      </c>
      <c r="V11" s="28">
        <v>618141</v>
      </c>
      <c r="W11" s="29"/>
      <c r="X11" s="30"/>
      <c r="Y11" s="30"/>
      <c r="Z11" s="31"/>
      <c r="AA11" s="26"/>
      <c r="AB11" s="174"/>
      <c r="AC11" s="174"/>
    </row>
    <row r="12" spans="1:29" ht="12.75">
      <c r="A12" s="173">
        <v>2</v>
      </c>
      <c r="B12" s="62">
        <v>38810</v>
      </c>
      <c r="C12" s="230" t="s">
        <v>107</v>
      </c>
      <c r="D12" s="231"/>
      <c r="E12" s="232"/>
      <c r="F12" s="63" t="s">
        <v>108</v>
      </c>
      <c r="G12" s="64" t="s">
        <v>46</v>
      </c>
      <c r="H12" s="65">
        <v>43</v>
      </c>
      <c r="I12" s="66" t="s">
        <v>57</v>
      </c>
      <c r="J12" s="65">
        <v>0</v>
      </c>
      <c r="K12" s="67">
        <f t="shared" si="0"/>
        <v>43</v>
      </c>
      <c r="L12" s="68"/>
      <c r="M12" s="69"/>
      <c r="N12" s="70"/>
      <c r="O12" s="71"/>
      <c r="P12" s="71"/>
      <c r="Q12" s="72"/>
      <c r="R12" s="73">
        <f t="shared" si="1"/>
        <v>626136</v>
      </c>
      <c r="U12" s="20" t="s">
        <v>59</v>
      </c>
      <c r="V12" s="21">
        <v>625139</v>
      </c>
      <c r="W12" s="29"/>
      <c r="X12" s="30"/>
      <c r="Y12" s="30"/>
      <c r="Z12" s="31"/>
      <c r="AA12" s="26"/>
      <c r="AB12" s="174"/>
      <c r="AC12" s="174"/>
    </row>
    <row r="13" spans="1:28" ht="12.75">
      <c r="A13" s="173">
        <v>2</v>
      </c>
      <c r="B13" s="74">
        <v>38811</v>
      </c>
      <c r="C13" s="233" t="s">
        <v>109</v>
      </c>
      <c r="D13" s="234"/>
      <c r="E13" s="235"/>
      <c r="F13" s="75" t="s">
        <v>56</v>
      </c>
      <c r="G13" s="76" t="s">
        <v>64</v>
      </c>
      <c r="H13" s="77">
        <v>80</v>
      </c>
      <c r="I13" s="78" t="s">
        <v>57</v>
      </c>
      <c r="J13" s="77">
        <v>10.49</v>
      </c>
      <c r="K13" s="79">
        <f t="shared" si="0"/>
        <v>69.51</v>
      </c>
      <c r="L13" s="80">
        <v>1</v>
      </c>
      <c r="M13" s="81">
        <v>20</v>
      </c>
      <c r="N13" s="82"/>
      <c r="O13" s="83"/>
      <c r="P13" s="83"/>
      <c r="Q13" s="84"/>
      <c r="R13" s="85">
        <f t="shared" si="1"/>
        <v>625340</v>
      </c>
      <c r="U13" s="20" t="s">
        <v>60</v>
      </c>
      <c r="V13" s="21">
        <v>626036</v>
      </c>
      <c r="W13" s="29"/>
      <c r="X13" s="30"/>
      <c r="Y13" s="30"/>
      <c r="Z13" s="31"/>
      <c r="AA13" s="26"/>
      <c r="AB13" s="26"/>
    </row>
    <row r="14" spans="1:28" ht="12.75">
      <c r="A14" s="173"/>
      <c r="B14" s="62"/>
      <c r="C14" s="230"/>
      <c r="D14" s="231"/>
      <c r="E14" s="232"/>
      <c r="F14" s="63"/>
      <c r="G14" s="64"/>
      <c r="H14" s="65"/>
      <c r="I14" s="66"/>
      <c r="J14" s="65"/>
      <c r="K14" s="67">
        <f t="shared" si="0"/>
        <v>0</v>
      </c>
      <c r="L14" s="68"/>
      <c r="M14" s="69"/>
      <c r="N14" s="70"/>
      <c r="O14" s="71"/>
      <c r="P14" s="71"/>
      <c r="Q14" s="72"/>
      <c r="R14" s="73">
        <f t="shared" si="1"/>
      </c>
      <c r="U14" s="27" t="s">
        <v>61</v>
      </c>
      <c r="V14" s="28">
        <v>615720</v>
      </c>
      <c r="W14" s="29" t="s">
        <v>62</v>
      </c>
      <c r="X14" s="30"/>
      <c r="Y14" s="30"/>
      <c r="Z14" s="31"/>
      <c r="AA14" s="26"/>
      <c r="AB14" s="26"/>
    </row>
    <row r="15" spans="1:28" ht="12.75">
      <c r="A15" s="173"/>
      <c r="B15" s="74"/>
      <c r="C15" s="233"/>
      <c r="D15" s="234"/>
      <c r="E15" s="235"/>
      <c r="F15" s="75"/>
      <c r="G15" s="76"/>
      <c r="H15" s="77"/>
      <c r="I15" s="78"/>
      <c r="J15" s="77"/>
      <c r="K15" s="79">
        <f t="shared" si="0"/>
        <v>0</v>
      </c>
      <c r="L15" s="80"/>
      <c r="M15" s="81"/>
      <c r="N15" s="82"/>
      <c r="O15" s="83"/>
      <c r="P15" s="83"/>
      <c r="Q15" s="84"/>
      <c r="R15" s="85">
        <f t="shared" si="1"/>
      </c>
      <c r="U15" s="27" t="s">
        <v>63</v>
      </c>
      <c r="V15" s="28">
        <v>615733</v>
      </c>
      <c r="W15" s="29"/>
      <c r="X15" s="30"/>
      <c r="Y15" s="30"/>
      <c r="Z15" s="31"/>
      <c r="AA15" s="26"/>
      <c r="AB15" s="26"/>
    </row>
    <row r="16" spans="1:28" ht="12.75">
      <c r="A16" s="173"/>
      <c r="B16" s="62"/>
      <c r="C16" s="230"/>
      <c r="D16" s="231"/>
      <c r="E16" s="232"/>
      <c r="F16" s="63"/>
      <c r="G16" s="64"/>
      <c r="H16" s="65"/>
      <c r="I16" s="66"/>
      <c r="J16" s="65"/>
      <c r="K16" s="67">
        <f t="shared" si="0"/>
        <v>0</v>
      </c>
      <c r="L16" s="68"/>
      <c r="M16" s="69"/>
      <c r="N16" s="70"/>
      <c r="O16" s="71"/>
      <c r="P16" s="71"/>
      <c r="Q16" s="72"/>
      <c r="R16" s="73">
        <f t="shared" si="1"/>
      </c>
      <c r="U16" s="27" t="s">
        <v>64</v>
      </c>
      <c r="V16" s="28">
        <v>625340</v>
      </c>
      <c r="W16" s="29" t="s">
        <v>65</v>
      </c>
      <c r="X16" s="30"/>
      <c r="Y16" s="30"/>
      <c r="Z16" s="31"/>
      <c r="AA16" s="26"/>
      <c r="AB16" s="26"/>
    </row>
    <row r="17" spans="1:28" ht="12.75">
      <c r="A17" s="173"/>
      <c r="B17" s="74"/>
      <c r="C17" s="233"/>
      <c r="D17" s="234"/>
      <c r="E17" s="235"/>
      <c r="F17" s="75"/>
      <c r="G17" s="76"/>
      <c r="H17" s="77"/>
      <c r="I17" s="78"/>
      <c r="J17" s="77"/>
      <c r="K17" s="79">
        <f t="shared" si="0"/>
        <v>0</v>
      </c>
      <c r="L17" s="80"/>
      <c r="M17" s="81"/>
      <c r="N17" s="82"/>
      <c r="O17" s="83"/>
      <c r="P17" s="83"/>
      <c r="Q17" s="84"/>
      <c r="R17" s="85">
        <f t="shared" si="1"/>
      </c>
      <c r="U17" s="20" t="s">
        <v>66</v>
      </c>
      <c r="V17" s="21">
        <v>625340</v>
      </c>
      <c r="W17" s="29" t="s">
        <v>65</v>
      </c>
      <c r="X17" s="30"/>
      <c r="Y17" s="30"/>
      <c r="Z17" s="31"/>
      <c r="AA17" s="26"/>
      <c r="AB17" s="26"/>
    </row>
    <row r="18" spans="1:28" ht="12.75">
      <c r="A18" s="173"/>
      <c r="B18" s="62"/>
      <c r="C18" s="230"/>
      <c r="D18" s="231"/>
      <c r="E18" s="232"/>
      <c r="F18" s="63"/>
      <c r="G18" s="64"/>
      <c r="H18" s="65"/>
      <c r="I18" s="66"/>
      <c r="J18" s="65"/>
      <c r="K18" s="67">
        <f t="shared" si="0"/>
        <v>0</v>
      </c>
      <c r="L18" s="68"/>
      <c r="M18" s="69"/>
      <c r="N18" s="70"/>
      <c r="O18" s="71"/>
      <c r="P18" s="71"/>
      <c r="Q18" s="72"/>
      <c r="R18" s="73">
        <f t="shared" si="1"/>
      </c>
      <c r="U18" s="86" t="s">
        <v>67</v>
      </c>
      <c r="V18" s="87">
        <v>625146</v>
      </c>
      <c r="W18" s="88" t="s">
        <v>68</v>
      </c>
      <c r="X18" s="89"/>
      <c r="Y18" s="89"/>
      <c r="Z18" s="90"/>
      <c r="AA18" s="26"/>
      <c r="AB18" s="26"/>
    </row>
    <row r="19" spans="1:22" ht="12.75">
      <c r="A19" s="173"/>
      <c r="B19" s="74"/>
      <c r="C19" s="233"/>
      <c r="D19" s="234"/>
      <c r="E19" s="235"/>
      <c r="F19" s="75"/>
      <c r="G19" s="76"/>
      <c r="H19" s="77"/>
      <c r="I19" s="78"/>
      <c r="J19" s="77"/>
      <c r="K19" s="79">
        <f t="shared" si="0"/>
        <v>0</v>
      </c>
      <c r="L19" s="80"/>
      <c r="M19" s="81"/>
      <c r="N19" s="82"/>
      <c r="O19" s="83"/>
      <c r="P19" s="83"/>
      <c r="Q19" s="84"/>
      <c r="R19" s="85">
        <f t="shared" si="1"/>
      </c>
      <c r="U19" s="91" t="s">
        <v>69</v>
      </c>
      <c r="V19" s="92">
        <v>423000</v>
      </c>
    </row>
    <row r="20" spans="1:18" ht="12.75">
      <c r="A20" s="173"/>
      <c r="B20" s="62"/>
      <c r="C20" s="230"/>
      <c r="D20" s="231"/>
      <c r="E20" s="232"/>
      <c r="F20" s="63"/>
      <c r="G20" s="64"/>
      <c r="H20" s="65"/>
      <c r="I20" s="66"/>
      <c r="J20" s="65"/>
      <c r="K20" s="67">
        <f t="shared" si="0"/>
        <v>0</v>
      </c>
      <c r="L20" s="68"/>
      <c r="M20" s="69"/>
      <c r="N20" s="70"/>
      <c r="O20" s="71"/>
      <c r="P20" s="71"/>
      <c r="Q20" s="72"/>
      <c r="R20" s="73">
        <f t="shared" si="1"/>
      </c>
    </row>
    <row r="21" spans="1:18" ht="12.75">
      <c r="A21" s="173"/>
      <c r="B21" s="74"/>
      <c r="C21" s="233"/>
      <c r="D21" s="234"/>
      <c r="E21" s="235"/>
      <c r="F21" s="75"/>
      <c r="G21" s="76"/>
      <c r="H21" s="77"/>
      <c r="I21" s="78"/>
      <c r="J21" s="77"/>
      <c r="K21" s="79">
        <f t="shared" si="0"/>
        <v>0</v>
      </c>
      <c r="L21" s="80"/>
      <c r="M21" s="81"/>
      <c r="N21" s="82"/>
      <c r="O21" s="83"/>
      <c r="P21" s="83"/>
      <c r="Q21" s="84"/>
      <c r="R21" s="85">
        <f t="shared" si="1"/>
      </c>
    </row>
    <row r="22" spans="1:36" ht="12.75">
      <c r="A22" s="173"/>
      <c r="B22" s="62"/>
      <c r="C22" s="230"/>
      <c r="D22" s="231"/>
      <c r="E22" s="232"/>
      <c r="F22" s="63"/>
      <c r="G22" s="64"/>
      <c r="H22" s="65"/>
      <c r="I22" s="66"/>
      <c r="J22" s="65"/>
      <c r="K22" s="67">
        <f t="shared" si="0"/>
        <v>0</v>
      </c>
      <c r="L22" s="68"/>
      <c r="M22" s="69"/>
      <c r="N22" s="70"/>
      <c r="O22" s="71"/>
      <c r="P22" s="71"/>
      <c r="Q22" s="72"/>
      <c r="R22" s="73">
        <f t="shared" si="1"/>
      </c>
      <c r="U22" s="2" t="s">
        <v>70</v>
      </c>
      <c r="W22" s="93" t="s">
        <v>71</v>
      </c>
      <c r="X22" s="94"/>
      <c r="Y22" s="95"/>
      <c r="AJ22" s="26"/>
    </row>
    <row r="23" spans="1:36" ht="12.75">
      <c r="A23" s="173"/>
      <c r="B23" s="74"/>
      <c r="C23" s="233"/>
      <c r="D23" s="234"/>
      <c r="E23" s="235"/>
      <c r="F23" s="75"/>
      <c r="G23" s="76"/>
      <c r="H23" s="77"/>
      <c r="I23" s="78"/>
      <c r="J23" s="77"/>
      <c r="K23" s="79">
        <f t="shared" si="0"/>
        <v>0</v>
      </c>
      <c r="L23" s="80"/>
      <c r="M23" s="81"/>
      <c r="N23" s="82"/>
      <c r="O23" s="83"/>
      <c r="P23" s="83"/>
      <c r="Q23" s="84"/>
      <c r="R23" s="85">
        <f t="shared" si="1"/>
      </c>
      <c r="U23" s="96"/>
      <c r="W23" s="2" t="s">
        <v>72</v>
      </c>
      <c r="X23" s="214" t="s">
        <v>73</v>
      </c>
      <c r="Y23" s="215"/>
      <c r="Z23" s="215"/>
      <c r="AA23" s="216"/>
      <c r="AB23" s="214" t="s">
        <v>22</v>
      </c>
      <c r="AC23" s="215"/>
      <c r="AD23" s="215"/>
      <c r="AE23" s="216"/>
      <c r="AF23" s="214" t="s">
        <v>74</v>
      </c>
      <c r="AG23" s="215"/>
      <c r="AH23" s="215"/>
      <c r="AI23" s="216"/>
      <c r="AJ23" s="26"/>
    </row>
    <row r="24" spans="1:35" ht="12.75">
      <c r="A24" s="173"/>
      <c r="B24" s="62"/>
      <c r="C24" s="230"/>
      <c r="D24" s="231"/>
      <c r="E24" s="232"/>
      <c r="F24" s="63"/>
      <c r="G24" s="64"/>
      <c r="H24" s="65"/>
      <c r="I24" s="66"/>
      <c r="J24" s="65"/>
      <c r="K24" s="67">
        <f t="shared" si="0"/>
        <v>0</v>
      </c>
      <c r="L24" s="68"/>
      <c r="M24" s="69"/>
      <c r="N24" s="70"/>
      <c r="O24" s="71"/>
      <c r="P24" s="71"/>
      <c r="Q24" s="72"/>
      <c r="R24" s="73">
        <f t="shared" si="1"/>
      </c>
      <c r="U24" s="97" t="s">
        <v>7</v>
      </c>
      <c r="W24" s="96"/>
      <c r="X24" s="98" t="s">
        <v>56</v>
      </c>
      <c r="Y24" s="98" t="s">
        <v>75</v>
      </c>
      <c r="Z24" s="98" t="s">
        <v>76</v>
      </c>
      <c r="AA24" s="99" t="s">
        <v>77</v>
      </c>
      <c r="AB24" s="98" t="s">
        <v>56</v>
      </c>
      <c r="AC24" s="98" t="s">
        <v>75</v>
      </c>
      <c r="AD24" s="98" t="s">
        <v>76</v>
      </c>
      <c r="AE24" s="99" t="s">
        <v>77</v>
      </c>
      <c r="AF24" s="98" t="s">
        <v>56</v>
      </c>
      <c r="AG24" s="98" t="s">
        <v>75</v>
      </c>
      <c r="AH24" s="98" t="s">
        <v>76</v>
      </c>
      <c r="AI24" s="99" t="s">
        <v>77</v>
      </c>
    </row>
    <row r="25" spans="1:35" ht="13.5" thickBot="1">
      <c r="A25" s="173"/>
      <c r="B25" s="100"/>
      <c r="C25" s="247"/>
      <c r="D25" s="248"/>
      <c r="E25" s="249"/>
      <c r="F25" s="101"/>
      <c r="G25" s="102"/>
      <c r="H25" s="103"/>
      <c r="I25" s="104"/>
      <c r="J25" s="103"/>
      <c r="K25" s="105">
        <f t="shared" si="0"/>
        <v>0</v>
      </c>
      <c r="L25" s="106"/>
      <c r="M25" s="107"/>
      <c r="N25" s="108"/>
      <c r="O25" s="109"/>
      <c r="P25" s="109"/>
      <c r="Q25" s="110"/>
      <c r="R25" s="111">
        <f t="shared" si="1"/>
      </c>
      <c r="U25" s="97" t="s">
        <v>78</v>
      </c>
      <c r="W25" s="112" t="str">
        <f aca="true" t="shared" si="2" ref="W25:W40">U3</f>
        <v>Repas</v>
      </c>
      <c r="X25" s="97">
        <v>20</v>
      </c>
      <c r="Y25" s="97">
        <v>20</v>
      </c>
      <c r="Z25" s="97">
        <v>20</v>
      </c>
      <c r="AA25" s="97">
        <v>23</v>
      </c>
      <c r="AB25" s="97">
        <v>20</v>
      </c>
      <c r="AC25" s="97">
        <v>20</v>
      </c>
      <c r="AD25" s="97">
        <v>20</v>
      </c>
      <c r="AE25" s="97">
        <v>23</v>
      </c>
      <c r="AF25" s="97">
        <v>23</v>
      </c>
      <c r="AG25" s="97">
        <v>23</v>
      </c>
      <c r="AH25" s="97">
        <v>23</v>
      </c>
      <c r="AI25" s="97">
        <v>23</v>
      </c>
    </row>
    <row r="26" spans="2:35" ht="13.5" thickBot="1">
      <c r="B26" s="26"/>
      <c r="C26" s="26"/>
      <c r="D26" s="26"/>
      <c r="E26" s="26"/>
      <c r="F26" s="26"/>
      <c r="G26" s="26"/>
      <c r="H26" s="113"/>
      <c r="I26" s="113"/>
      <c r="J26" s="113"/>
      <c r="K26" s="113"/>
      <c r="M26" s="114"/>
      <c r="N26" s="114"/>
      <c r="O26" s="114"/>
      <c r="P26" s="114"/>
      <c r="U26" s="97" t="s">
        <v>79</v>
      </c>
      <c r="W26" s="112" t="str">
        <f t="shared" si="2"/>
        <v>Chambre</v>
      </c>
      <c r="X26" s="97">
        <v>73</v>
      </c>
      <c r="Y26" s="97">
        <v>90</v>
      </c>
      <c r="Z26" s="97">
        <v>90</v>
      </c>
      <c r="AA26" s="97">
        <v>102</v>
      </c>
      <c r="AB26" s="97">
        <v>89</v>
      </c>
      <c r="AC26" s="97">
        <v>102</v>
      </c>
      <c r="AD26" s="97">
        <v>102</v>
      </c>
      <c r="AE26" s="97">
        <v>102</v>
      </c>
      <c r="AF26" s="97">
        <v>107</v>
      </c>
      <c r="AG26" s="97">
        <v>107</v>
      </c>
      <c r="AH26" s="97">
        <v>107</v>
      </c>
      <c r="AI26" s="97">
        <v>102</v>
      </c>
    </row>
    <row r="27" spans="2:35" ht="13.5" thickBot="1">
      <c r="B27" s="188" t="s">
        <v>80</v>
      </c>
      <c r="C27" s="189"/>
      <c r="D27" s="239"/>
      <c r="E27" s="26"/>
      <c r="F27" s="242" t="s">
        <v>81</v>
      </c>
      <c r="G27" s="243"/>
      <c r="H27" s="115">
        <f>ROUND(SUM(H11:H25)+SUM(M11:M25),2)</f>
        <v>243</v>
      </c>
      <c r="I27" s="116"/>
      <c r="J27" s="116">
        <f>ROUND(SUM(J11:J25),2)</f>
        <v>10.49</v>
      </c>
      <c r="K27" s="116">
        <f>ROUND(SUM(K11:K25),2)</f>
        <v>212.51</v>
      </c>
      <c r="L27" s="117">
        <f>ROUND(SUM(L11:L25),)</f>
        <v>3</v>
      </c>
      <c r="M27" s="116">
        <f>ROUND(SUM(M11:M25),2)</f>
        <v>20</v>
      </c>
      <c r="N27" s="116">
        <f>ROUND(SUM(N11:N25),2)</f>
        <v>100</v>
      </c>
      <c r="O27" s="116">
        <f>ROUND(SUM(O11:O25),2)</f>
        <v>24</v>
      </c>
      <c r="P27" s="116">
        <f>ROUND(SUM(P11:P25),2)</f>
        <v>5</v>
      </c>
      <c r="Q27" s="118">
        <f>ROUND(SUM(Q11:Q25),)</f>
        <v>300</v>
      </c>
      <c r="U27" s="97" t="s">
        <v>82</v>
      </c>
      <c r="W27" s="112" t="str">
        <f t="shared" si="2"/>
        <v>Avion - Rail</v>
      </c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</row>
    <row r="28" spans="2:35" ht="12.75">
      <c r="B28" s="236"/>
      <c r="C28" s="237"/>
      <c r="D28" s="238"/>
      <c r="E28" s="26"/>
      <c r="F28" s="119"/>
      <c r="G28" s="120"/>
      <c r="H28" s="121"/>
      <c r="I28" s="122"/>
      <c r="J28" s="122"/>
      <c r="K28" s="122"/>
      <c r="L28" s="123"/>
      <c r="M28" s="122"/>
      <c r="N28" s="122"/>
      <c r="O28" s="122"/>
      <c r="P28" s="122"/>
      <c r="Q28" s="124"/>
      <c r="U28" s="97" t="s">
        <v>83</v>
      </c>
      <c r="W28" s="112" t="str">
        <f t="shared" si="2"/>
        <v>Taxis</v>
      </c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</row>
    <row r="29" spans="2:35" ht="12.75">
      <c r="B29" s="206"/>
      <c r="C29" s="183"/>
      <c r="D29" s="184"/>
      <c r="E29" s="26"/>
      <c r="F29" s="240" t="s">
        <v>84</v>
      </c>
      <c r="G29" s="241"/>
      <c r="H29" s="125"/>
      <c r="I29" s="126"/>
      <c r="J29" s="126"/>
      <c r="K29" s="126"/>
      <c r="L29" s="127"/>
      <c r="M29" s="126"/>
      <c r="N29" s="126"/>
      <c r="O29" s="126"/>
      <c r="P29" s="126"/>
      <c r="Q29" s="128"/>
      <c r="U29" s="97" t="s">
        <v>85</v>
      </c>
      <c r="W29" s="112" t="str">
        <f t="shared" si="2"/>
        <v>Autoroute</v>
      </c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</row>
    <row r="30" spans="2:35" ht="12.75">
      <c r="B30" s="206"/>
      <c r="C30" s="183"/>
      <c r="D30" s="184"/>
      <c r="E30" s="26"/>
      <c r="F30" s="44"/>
      <c r="G30" s="120"/>
      <c r="H30" s="129"/>
      <c r="I30" s="130"/>
      <c r="J30" s="130"/>
      <c r="K30" s="130"/>
      <c r="L30" s="131"/>
      <c r="M30" s="130"/>
      <c r="N30" s="130"/>
      <c r="O30" s="130"/>
      <c r="P30" s="130"/>
      <c r="Q30" s="132"/>
      <c r="U30" s="97" t="s">
        <v>86</v>
      </c>
      <c r="W30" s="112" t="str">
        <f t="shared" si="2"/>
        <v>Parking</v>
      </c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</row>
    <row r="31" spans="2:35" ht="12.75">
      <c r="B31" s="206"/>
      <c r="C31" s="183"/>
      <c r="D31" s="184"/>
      <c r="F31" s="240" t="s">
        <v>87</v>
      </c>
      <c r="G31" s="241"/>
      <c r="H31" s="133">
        <f>ROUND(H27-H29,2)</f>
        <v>243</v>
      </c>
      <c r="I31" s="134"/>
      <c r="J31" s="134"/>
      <c r="K31" s="134"/>
      <c r="L31" s="135"/>
      <c r="M31" s="134"/>
      <c r="N31" s="134"/>
      <c r="O31" s="134"/>
      <c r="P31" s="134"/>
      <c r="Q31" s="136"/>
      <c r="U31" s="97" t="s">
        <v>88</v>
      </c>
      <c r="W31" s="112" t="str">
        <f t="shared" si="2"/>
        <v>Telephone/Fax</v>
      </c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</row>
    <row r="32" spans="2:35" ht="13.5" thickBot="1">
      <c r="B32" s="185"/>
      <c r="C32" s="186"/>
      <c r="D32" s="187"/>
      <c r="F32" s="137"/>
      <c r="G32" s="138"/>
      <c r="H32" s="139"/>
      <c r="I32" s="140"/>
      <c r="J32" s="140"/>
      <c r="K32" s="140"/>
      <c r="L32" s="141"/>
      <c r="M32" s="140"/>
      <c r="N32" s="140"/>
      <c r="O32" s="140"/>
      <c r="P32" s="140"/>
      <c r="Q32" s="142"/>
      <c r="U32" s="97" t="s">
        <v>89</v>
      </c>
      <c r="W32" s="112" t="str">
        <f t="shared" si="2"/>
        <v>Invitation</v>
      </c>
      <c r="X32" s="97">
        <v>100</v>
      </c>
      <c r="Y32" s="97">
        <v>100</v>
      </c>
      <c r="Z32" s="97">
        <v>100</v>
      </c>
      <c r="AA32" s="97">
        <v>100</v>
      </c>
      <c r="AB32" s="97">
        <v>100</v>
      </c>
      <c r="AC32" s="97">
        <v>100</v>
      </c>
      <c r="AD32" s="97">
        <v>100</v>
      </c>
      <c r="AE32" s="97">
        <v>100</v>
      </c>
      <c r="AF32" s="97">
        <v>100</v>
      </c>
      <c r="AG32" s="97">
        <v>100</v>
      </c>
      <c r="AH32" s="97">
        <v>100</v>
      </c>
      <c r="AI32" s="97">
        <v>100</v>
      </c>
    </row>
    <row r="33" spans="8:35" s="143" customFormat="1" ht="12.75">
      <c r="H33" s="144"/>
      <c r="I33" s="144"/>
      <c r="J33" s="145"/>
      <c r="K33" s="146"/>
      <c r="L33" s="146"/>
      <c r="M33" s="146"/>
      <c r="U33" s="97" t="s">
        <v>90</v>
      </c>
      <c r="V33" s="1"/>
      <c r="W33" s="112" t="str">
        <f t="shared" si="2"/>
        <v>Documentation</v>
      </c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</row>
    <row r="34" spans="2:35" s="143" customFormat="1" ht="12.75">
      <c r="B34" s="246" t="s">
        <v>105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U34" s="97" t="s">
        <v>91</v>
      </c>
      <c r="W34" s="112" t="str">
        <f t="shared" si="2"/>
        <v>Location auto</v>
      </c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</row>
    <row r="35" spans="18:35" ht="13.5" thickBot="1">
      <c r="R35" s="1">
        <v>0</v>
      </c>
      <c r="U35" s="97"/>
      <c r="V35" s="143"/>
      <c r="W35" s="112" t="str">
        <f t="shared" si="2"/>
        <v>Affranchissemts</v>
      </c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</row>
    <row r="36" spans="2:35" ht="13.5" thickBot="1">
      <c r="B36" s="147" t="s">
        <v>92</v>
      </c>
      <c r="C36" s="229" t="s">
        <v>93</v>
      </c>
      <c r="D36" s="220"/>
      <c r="E36" s="229" t="str">
        <f>"Resp. "&amp;K3</f>
        <v>Resp. DFG1</v>
      </c>
      <c r="F36" s="220"/>
      <c r="G36" s="217" t="s">
        <v>94</v>
      </c>
      <c r="H36" s="220"/>
      <c r="I36" s="217"/>
      <c r="J36" s="220"/>
      <c r="K36" s="217"/>
      <c r="L36" s="220"/>
      <c r="M36" s="217" t="s">
        <v>95</v>
      </c>
      <c r="N36" s="218"/>
      <c r="O36" s="218"/>
      <c r="P36" s="219"/>
      <c r="U36" s="97"/>
      <c r="W36" s="112" t="str">
        <f t="shared" si="2"/>
        <v>Entretien Auto</v>
      </c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</row>
    <row r="37" spans="2:35" ht="12.75">
      <c r="B37" s="148" t="s">
        <v>96</v>
      </c>
      <c r="C37" s="275">
        <f>IF(ISBLANK(P4),"",P4)</f>
        <v>38811</v>
      </c>
      <c r="D37" s="275"/>
      <c r="E37" s="268"/>
      <c r="F37" s="269"/>
      <c r="G37" s="270"/>
      <c r="H37" s="270"/>
      <c r="I37" s="268"/>
      <c r="J37" s="269"/>
      <c r="K37" s="268"/>
      <c r="L37" s="269"/>
      <c r="M37" s="292"/>
      <c r="N37" s="293"/>
      <c r="O37" s="293"/>
      <c r="P37" s="294"/>
      <c r="U37" s="97"/>
      <c r="W37" s="112" t="str">
        <f t="shared" si="2"/>
        <v>Reparation Auto</v>
      </c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</row>
    <row r="38" spans="2:35" ht="12.75">
      <c r="B38" s="148" t="s">
        <v>97</v>
      </c>
      <c r="C38" s="276" t="str">
        <f>IF(ISBLANK(F3),"",F3)</f>
        <v>BARONE</v>
      </c>
      <c r="D38" s="277"/>
      <c r="E38" s="273"/>
      <c r="F38" s="274"/>
      <c r="G38" s="278"/>
      <c r="H38" s="278"/>
      <c r="I38" s="273"/>
      <c r="J38" s="274"/>
      <c r="K38" s="273"/>
      <c r="L38" s="274"/>
      <c r="M38" s="273"/>
      <c r="N38" s="295"/>
      <c r="O38" s="295"/>
      <c r="P38" s="296"/>
      <c r="U38" s="97"/>
      <c r="W38" s="112" t="str">
        <f t="shared" si="2"/>
        <v>Gazole</v>
      </c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</row>
    <row r="39" spans="2:35" ht="12.75">
      <c r="B39" s="148" t="s">
        <v>98</v>
      </c>
      <c r="C39" s="276" t="str">
        <f>IF(ISBLANK(F4),"",F4)</f>
        <v>Jean-Marie</v>
      </c>
      <c r="D39" s="277"/>
      <c r="E39" s="273"/>
      <c r="F39" s="274"/>
      <c r="G39" s="278"/>
      <c r="H39" s="278"/>
      <c r="I39" s="273"/>
      <c r="J39" s="274"/>
      <c r="K39" s="273"/>
      <c r="L39" s="274"/>
      <c r="M39" s="273"/>
      <c r="N39" s="295"/>
      <c r="O39" s="295"/>
      <c r="P39" s="296"/>
      <c r="U39" s="97"/>
      <c r="W39" s="112" t="str">
        <f t="shared" si="2"/>
        <v>Super H-Carte</v>
      </c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</row>
    <row r="40" spans="2:35" ht="12.75">
      <c r="B40" s="262" t="s">
        <v>99</v>
      </c>
      <c r="C40" s="260"/>
      <c r="D40" s="260"/>
      <c r="E40" s="264"/>
      <c r="F40" s="265"/>
      <c r="G40" s="271"/>
      <c r="H40" s="271"/>
      <c r="I40" s="264"/>
      <c r="J40" s="265"/>
      <c r="K40" s="264"/>
      <c r="L40" s="265"/>
      <c r="M40" s="297"/>
      <c r="N40" s="298"/>
      <c r="O40" s="298"/>
      <c r="P40" s="299"/>
      <c r="U40" s="97"/>
      <c r="W40" s="112" t="str">
        <f t="shared" si="2"/>
        <v>Divers</v>
      </c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</row>
    <row r="41" spans="2:16" ht="12.75">
      <c r="B41" s="262"/>
      <c r="C41" s="260"/>
      <c r="D41" s="260"/>
      <c r="E41" s="264"/>
      <c r="F41" s="265"/>
      <c r="G41" s="271"/>
      <c r="H41" s="271"/>
      <c r="I41" s="264"/>
      <c r="J41" s="265"/>
      <c r="K41" s="264"/>
      <c r="L41" s="265"/>
      <c r="M41" s="300"/>
      <c r="N41" s="222"/>
      <c r="O41" s="222"/>
      <c r="P41" s="301"/>
    </row>
    <row r="42" spans="2:16" ht="12.75">
      <c r="B42" s="262"/>
      <c r="C42" s="260"/>
      <c r="D42" s="260"/>
      <c r="E42" s="264"/>
      <c r="F42" s="265"/>
      <c r="G42" s="271"/>
      <c r="H42" s="271"/>
      <c r="I42" s="264"/>
      <c r="J42" s="265"/>
      <c r="K42" s="264"/>
      <c r="L42" s="265"/>
      <c r="M42" s="300"/>
      <c r="N42" s="222"/>
      <c r="O42" s="222"/>
      <c r="P42" s="301"/>
    </row>
    <row r="43" spans="2:16" ht="12.75">
      <c r="B43" s="262"/>
      <c r="C43" s="260"/>
      <c r="D43" s="260"/>
      <c r="E43" s="264"/>
      <c r="F43" s="265"/>
      <c r="G43" s="271"/>
      <c r="H43" s="271"/>
      <c r="I43" s="264"/>
      <c r="J43" s="265"/>
      <c r="K43" s="264"/>
      <c r="L43" s="265"/>
      <c r="M43" s="300"/>
      <c r="N43" s="222"/>
      <c r="O43" s="222"/>
      <c r="P43" s="301"/>
    </row>
    <row r="44" spans="2:16" ht="12.75">
      <c r="B44" s="262"/>
      <c r="C44" s="260"/>
      <c r="D44" s="260"/>
      <c r="E44" s="264"/>
      <c r="F44" s="265"/>
      <c r="G44" s="271"/>
      <c r="H44" s="271"/>
      <c r="I44" s="264"/>
      <c r="J44" s="265"/>
      <c r="K44" s="264"/>
      <c r="L44" s="265"/>
      <c r="M44" s="300"/>
      <c r="N44" s="222"/>
      <c r="O44" s="222"/>
      <c r="P44" s="301"/>
    </row>
    <row r="45" spans="2:16" ht="12.75">
      <c r="B45" s="262"/>
      <c r="C45" s="260"/>
      <c r="D45" s="260"/>
      <c r="E45" s="264"/>
      <c r="F45" s="265"/>
      <c r="G45" s="271"/>
      <c r="H45" s="271"/>
      <c r="I45" s="264"/>
      <c r="J45" s="265"/>
      <c r="K45" s="264"/>
      <c r="L45" s="265"/>
      <c r="M45" s="300"/>
      <c r="N45" s="222"/>
      <c r="O45" s="222"/>
      <c r="P45" s="301"/>
    </row>
    <row r="46" spans="2:16" ht="13.5" thickBot="1">
      <c r="B46" s="263"/>
      <c r="C46" s="261"/>
      <c r="D46" s="261"/>
      <c r="E46" s="266"/>
      <c r="F46" s="267"/>
      <c r="G46" s="272"/>
      <c r="H46" s="272"/>
      <c r="I46" s="266"/>
      <c r="J46" s="267"/>
      <c r="K46" s="266"/>
      <c r="L46" s="267"/>
      <c r="M46" s="302"/>
      <c r="N46" s="303"/>
      <c r="O46" s="303"/>
      <c r="P46" s="304"/>
    </row>
    <row r="49" spans="2:6" ht="12.75">
      <c r="B49" s="149" t="s">
        <v>100</v>
      </c>
      <c r="C49" s="150" t="s">
        <v>101</v>
      </c>
      <c r="D49" s="151"/>
      <c r="E49" s="152"/>
      <c r="F49" s="153"/>
    </row>
    <row r="50" spans="2:6" ht="12.75">
      <c r="B50" s="154" t="s">
        <v>102</v>
      </c>
      <c r="C50" s="154" t="s">
        <v>103</v>
      </c>
      <c r="D50" s="154" t="s">
        <v>104</v>
      </c>
      <c r="E50" s="155"/>
      <c r="F50" s="156"/>
    </row>
    <row r="51" spans="2:6" ht="12.75">
      <c r="B51" s="157"/>
      <c r="C51" s="158"/>
      <c r="D51" s="159"/>
      <c r="E51" s="160">
        <f aca="true" t="shared" si="3" ref="E51:E68">IF(ISNA(INDEX($U$2:$U$18,MATCH(B51,$V$2:$V$18,0))),"",UPPER(INDEX($U$2:$U$18,MATCH(B51,$V$2:$V$18,0))))</f>
      </c>
      <c r="F51" s="156"/>
    </row>
    <row r="52" spans="2:6" ht="12.75">
      <c r="B52" s="161">
        <v>625133</v>
      </c>
      <c r="C52" s="162">
        <f>$M$27</f>
        <v>20</v>
      </c>
      <c r="D52" s="159"/>
      <c r="E52" s="160" t="str">
        <f t="shared" si="3"/>
        <v>REPAS</v>
      </c>
      <c r="F52" s="156"/>
    </row>
    <row r="53" spans="2:15" ht="12.75">
      <c r="B53" s="161">
        <v>445660</v>
      </c>
      <c r="C53" s="162">
        <f>$J$27</f>
        <v>10.49</v>
      </c>
      <c r="D53" s="159"/>
      <c r="E53" s="160" t="str">
        <f t="shared" si="3"/>
        <v>TVA</v>
      </c>
      <c r="F53" s="156"/>
      <c r="O53" s="163"/>
    </row>
    <row r="54" spans="2:15" ht="12.75">
      <c r="B54" s="157">
        <f>+R11</f>
        <v>625132</v>
      </c>
      <c r="C54" s="158">
        <f aca="true" t="shared" si="4" ref="C54:C68">SUMIF($R$11:$R$25,B54,$K$11:$K$25)</f>
        <v>100</v>
      </c>
      <c r="D54" s="159"/>
      <c r="E54" s="160" t="str">
        <f t="shared" si="3"/>
        <v>CHAMBRE</v>
      </c>
      <c r="F54" s="156"/>
      <c r="O54" s="163"/>
    </row>
    <row r="55" spans="2:15" ht="12.75">
      <c r="B55" s="157">
        <f>IF(ISNA(MATCH(R12,$B$54:B54,0)),R12,"")</f>
        <v>626136</v>
      </c>
      <c r="C55" s="158">
        <f t="shared" si="4"/>
        <v>43</v>
      </c>
      <c r="D55" s="159"/>
      <c r="E55" s="160" t="str">
        <f t="shared" si="3"/>
        <v>TELEPHONE/FAX</v>
      </c>
      <c r="F55" s="156"/>
      <c r="O55" s="163"/>
    </row>
    <row r="56" spans="2:15" ht="12.75">
      <c r="B56" s="157">
        <f>IF(ISNA(MATCH(R13,$B$54:B55,0)),R13,"")</f>
        <v>625340</v>
      </c>
      <c r="C56" s="158">
        <f t="shared" si="4"/>
        <v>69.51</v>
      </c>
      <c r="D56" s="159"/>
      <c r="E56" s="160" t="str">
        <f t="shared" si="3"/>
        <v>GAZOLE</v>
      </c>
      <c r="F56" s="156"/>
      <c r="O56" s="163"/>
    </row>
    <row r="57" spans="2:15" ht="12.75">
      <c r="B57" s="157">
        <f>IF(ISNA(MATCH(R14,$B$54:B56,0)),R14,"")</f>
      </c>
      <c r="C57" s="158">
        <f t="shared" si="4"/>
        <v>0</v>
      </c>
      <c r="D57" s="159"/>
      <c r="E57" s="160">
        <f t="shared" si="3"/>
      </c>
      <c r="F57" s="156"/>
      <c r="O57" s="163"/>
    </row>
    <row r="58" spans="2:15" ht="12.75">
      <c r="B58" s="157">
        <f>IF(ISNA(MATCH(R15,$B$54:B57,0)),R15,"")</f>
      </c>
      <c r="C58" s="158">
        <f t="shared" si="4"/>
        <v>0</v>
      </c>
      <c r="D58" s="159"/>
      <c r="E58" s="160">
        <f t="shared" si="3"/>
      </c>
      <c r="F58" s="156"/>
      <c r="O58" s="163"/>
    </row>
    <row r="59" spans="2:15" ht="12.75">
      <c r="B59" s="157">
        <f>IF(ISNA(MATCH(R16,$B$54:B58,0)),R16,"")</f>
      </c>
      <c r="C59" s="158">
        <f t="shared" si="4"/>
        <v>0</v>
      </c>
      <c r="D59" s="159"/>
      <c r="E59" s="160">
        <f t="shared" si="3"/>
      </c>
      <c r="F59" s="156"/>
      <c r="O59" s="163"/>
    </row>
    <row r="60" spans="2:15" ht="12.75">
      <c r="B60" s="157">
        <f>IF(ISNA(MATCH(R17,$B$54:B59,0)),R17,"")</f>
      </c>
      <c r="C60" s="158">
        <f t="shared" si="4"/>
        <v>0</v>
      </c>
      <c r="D60" s="159"/>
      <c r="E60" s="160">
        <f t="shared" si="3"/>
      </c>
      <c r="F60" s="156"/>
      <c r="O60" s="163"/>
    </row>
    <row r="61" spans="2:15" ht="12.75">
      <c r="B61" s="157">
        <f>IF(ISNA(MATCH(R18,$B$54:B60,0)),R18,"")</f>
      </c>
      <c r="C61" s="158">
        <f t="shared" si="4"/>
        <v>0</v>
      </c>
      <c r="D61" s="159"/>
      <c r="E61" s="160">
        <f t="shared" si="3"/>
      </c>
      <c r="F61" s="156"/>
      <c r="O61" s="163"/>
    </row>
    <row r="62" spans="2:15" ht="12.75">
      <c r="B62" s="157">
        <f>IF(ISNA(MATCH(R19,$B$54:B61,0)),R19,"")</f>
      </c>
      <c r="C62" s="158">
        <f t="shared" si="4"/>
        <v>0</v>
      </c>
      <c r="D62" s="159"/>
      <c r="E62" s="160">
        <f t="shared" si="3"/>
      </c>
      <c r="F62" s="156"/>
      <c r="O62" s="163"/>
    </row>
    <row r="63" spans="2:15" ht="12.75">
      <c r="B63" s="157">
        <f>IF(ISNA(MATCH(R20,$B$54:B62,0)),R20,"")</f>
      </c>
      <c r="C63" s="158">
        <f t="shared" si="4"/>
        <v>0</v>
      </c>
      <c r="D63" s="159"/>
      <c r="E63" s="160">
        <f t="shared" si="3"/>
      </c>
      <c r="F63" s="156"/>
      <c r="O63" s="163"/>
    </row>
    <row r="64" spans="2:15" ht="12.75">
      <c r="B64" s="157">
        <f>IF(ISNA(MATCH(R21,$B$54:B63,0)),R21,"")</f>
      </c>
      <c r="C64" s="158">
        <f t="shared" si="4"/>
        <v>0</v>
      </c>
      <c r="D64" s="159"/>
      <c r="E64" s="160">
        <f t="shared" si="3"/>
      </c>
      <c r="F64" s="156"/>
      <c r="O64" s="163"/>
    </row>
    <row r="65" spans="2:15" ht="12.75">
      <c r="B65" s="157">
        <f>IF(ISNA(MATCH(R22,$B$54:B64,0)),R22,"")</f>
      </c>
      <c r="C65" s="158">
        <f t="shared" si="4"/>
        <v>0</v>
      </c>
      <c r="D65" s="159"/>
      <c r="E65" s="160">
        <f t="shared" si="3"/>
      </c>
      <c r="F65" s="156"/>
      <c r="O65" s="163"/>
    </row>
    <row r="66" spans="2:15" ht="12.75">
      <c r="B66" s="157">
        <f>IF(ISNA(MATCH(R23,$B$54:B65,0)),R23,"")</f>
      </c>
      <c r="C66" s="158">
        <f t="shared" si="4"/>
        <v>0</v>
      </c>
      <c r="D66" s="159"/>
      <c r="E66" s="160">
        <f t="shared" si="3"/>
      </c>
      <c r="F66" s="156"/>
      <c r="O66" s="163"/>
    </row>
    <row r="67" spans="2:15" ht="12.75">
      <c r="B67" s="157">
        <f>IF(ISNA(MATCH(R24,$B$54:B66,0)),R24,"")</f>
      </c>
      <c r="C67" s="158">
        <f t="shared" si="4"/>
        <v>0</v>
      </c>
      <c r="D67" s="159"/>
      <c r="E67" s="160">
        <f t="shared" si="3"/>
      </c>
      <c r="F67" s="156"/>
      <c r="O67" s="163"/>
    </row>
    <row r="68" spans="2:15" ht="12.75">
      <c r="B68" s="157">
        <f>IF(ISNA(MATCH(R25,$B$54:B67,0)),R25,"")</f>
      </c>
      <c r="C68" s="158">
        <f t="shared" si="4"/>
        <v>0</v>
      </c>
      <c r="D68" s="159"/>
      <c r="E68" s="160">
        <f t="shared" si="3"/>
      </c>
      <c r="F68" s="156"/>
      <c r="O68" s="163"/>
    </row>
    <row r="69" spans="2:15" ht="12.75">
      <c r="B69" s="161">
        <f>V19</f>
        <v>423000</v>
      </c>
      <c r="C69" s="159"/>
      <c r="D69" s="162">
        <f>ROUND(SUM(C51:C68),2)</f>
        <v>243</v>
      </c>
      <c r="E69" s="164"/>
      <c r="F69" s="156"/>
      <c r="O69" s="163"/>
    </row>
    <row r="70" spans="2:15" ht="12.75">
      <c r="B70" s="165"/>
      <c r="C70" s="166"/>
      <c r="D70" s="167"/>
      <c r="E70" s="168"/>
      <c r="F70" s="169"/>
      <c r="O70" s="163"/>
    </row>
    <row r="71" spans="3:15" ht="12.75">
      <c r="C71" s="170"/>
      <c r="D71" s="171" t="str">
        <f>"  Ecart = "&amp;(D69-H27)&amp;" E"</f>
        <v>  Ecart = 0 E</v>
      </c>
      <c r="O71" s="163"/>
    </row>
    <row r="72" ht="12.75">
      <c r="O72" s="163"/>
    </row>
  </sheetData>
  <sheetProtection sheet="1" objects="1" scenarios="1"/>
  <mergeCells count="78">
    <mergeCell ref="K37:L37"/>
    <mergeCell ref="K38:L38"/>
    <mergeCell ref="K39:L39"/>
    <mergeCell ref="K40:L46"/>
    <mergeCell ref="M37:P37"/>
    <mergeCell ref="M38:P38"/>
    <mergeCell ref="M39:P39"/>
    <mergeCell ref="M40:P46"/>
    <mergeCell ref="A1:Q1"/>
    <mergeCell ref="C12:E12"/>
    <mergeCell ref="P3:Q3"/>
    <mergeCell ref="P4:Q4"/>
    <mergeCell ref="D3:D6"/>
    <mergeCell ref="F6:G6"/>
    <mergeCell ref="F3:G3"/>
    <mergeCell ref="K4:L4"/>
    <mergeCell ref="K5:L5"/>
    <mergeCell ref="C11:E11"/>
    <mergeCell ref="C39:D39"/>
    <mergeCell ref="I37:J37"/>
    <mergeCell ref="E38:F38"/>
    <mergeCell ref="G38:H38"/>
    <mergeCell ref="I38:J38"/>
    <mergeCell ref="E39:F39"/>
    <mergeCell ref="G39:H39"/>
    <mergeCell ref="C40:D46"/>
    <mergeCell ref="B40:B46"/>
    <mergeCell ref="I40:J46"/>
    <mergeCell ref="E37:F37"/>
    <mergeCell ref="G37:H37"/>
    <mergeCell ref="E40:F46"/>
    <mergeCell ref="G40:H46"/>
    <mergeCell ref="I39:J39"/>
    <mergeCell ref="C37:D37"/>
    <mergeCell ref="C38:D38"/>
    <mergeCell ref="C15:E15"/>
    <mergeCell ref="I3:J3"/>
    <mergeCell ref="I4:J4"/>
    <mergeCell ref="I5:J5"/>
    <mergeCell ref="F4:G4"/>
    <mergeCell ref="F5:G5"/>
    <mergeCell ref="K6:L6"/>
    <mergeCell ref="I36:J36"/>
    <mergeCell ref="I6:J6"/>
    <mergeCell ref="B34:M34"/>
    <mergeCell ref="C23:E23"/>
    <mergeCell ref="C24:E24"/>
    <mergeCell ref="C25:E25"/>
    <mergeCell ref="C9:E9"/>
    <mergeCell ref="C13:E13"/>
    <mergeCell ref="C14:E14"/>
    <mergeCell ref="E36:F36"/>
    <mergeCell ref="G36:H36"/>
    <mergeCell ref="F31:G31"/>
    <mergeCell ref="F27:G27"/>
    <mergeCell ref="F29:G29"/>
    <mergeCell ref="C17:E17"/>
    <mergeCell ref="C18:E18"/>
    <mergeCell ref="C22:E22"/>
    <mergeCell ref="B28:D32"/>
    <mergeCell ref="B27:D27"/>
    <mergeCell ref="C19:E19"/>
    <mergeCell ref="C20:E20"/>
    <mergeCell ref="C21:E21"/>
    <mergeCell ref="K36:L36"/>
    <mergeCell ref="B3:C3"/>
    <mergeCell ref="B4:C4"/>
    <mergeCell ref="P6:Q6"/>
    <mergeCell ref="P5:Q5"/>
    <mergeCell ref="K3:L3"/>
    <mergeCell ref="B5:C5"/>
    <mergeCell ref="B6:C6"/>
    <mergeCell ref="C36:D36"/>
    <mergeCell ref="C16:E16"/>
    <mergeCell ref="X23:AA23"/>
    <mergeCell ref="AB23:AE23"/>
    <mergeCell ref="AF23:AI23"/>
    <mergeCell ref="M36:P36"/>
  </mergeCells>
  <dataValidations count="21">
    <dataValidation allowBlank="1" showInputMessage="1" showErrorMessage="1" promptTitle="ATTENTION !" prompt="Ne rien saisir dans cette cellule&#10;(Calcul automatique)" sqref="P3:P4"/>
    <dataValidation operator="lessThanOrEqual" allowBlank="1" showInputMessage="1" showErrorMessage="1" promptTitle="ATTENTION !" prompt="Ne rien saisir dans cette cellule&#10;(Calcul automatique)&#10;" sqref="P5"/>
    <dataValidation type="list" allowBlank="1" showInputMessage="1" showErrorMessage="1" promptTitle="Important " prompt="Le status permet de fixer la limite des dépenses autorisée" errorTitle="Erreur de Saisie" error="Utilisez la liste déroulante pour choisir votre status" sqref="F6:G6">
      <formula1>"Itinérant sur Secteur,Itinérant hors secteur/Collaborateur,Directeur ou Chef de Département"</formula1>
    </dataValidation>
    <dataValidation type="textLength" operator="equal" allowBlank="1" showInputMessage="1" showErrorMessage="1" errorTitle="ZONE PROTEGEE" error="Utilisez le bouton SAISIE pour saisir une dépense, et remplir le tableau" sqref="A11:Q25">
      <formula1>1000</formula1>
    </dataValidation>
    <dataValidation allowBlank="1" showInputMessage="1" showErrorMessage="1" promptTitle="ATTENTION !" prompt="Résérvé à la Comptabilité" sqref="K49:O75 B49:F71"/>
    <dataValidation type="list" allowBlank="1" showInputMessage="1" showErrorMessage="1" errorTitle="ERREUR DE SAISIE" error="Devise non-répertoriée" sqref="P6:Q6">
      <formula1>$AB$3:$AB$12</formula1>
    </dataValidation>
    <dataValidation allowBlank="1" showInputMessage="1" showErrorMessage="1" promptTitle="MOTIF" prompt="Ne pas remplir si vous êtes Itinérant" sqref="B28:D32"/>
    <dataValidation allowBlank="1" showInputMessage="1" showErrorMessage="1" promptTitle="ATTENTION" prompt="Cette cellule ne doit pas être modifiée" sqref="W2:W3"/>
    <dataValidation allowBlank="1" showInputMessage="1" showErrorMessage="1" promptTitle="PARAMETRAGE" prompt="Entrez vos numéros de compte correspondants" sqref="V2:V19"/>
    <dataValidation type="whole" operator="greaterThan" allowBlank="1" showInputMessage="1" showErrorMessage="1" promptTitle="PLAFOND DEPENSE" prompt="Entrez la dépense maximum autorisée pour chaque catégorie" errorTitle="Erreur de Saisie" error="Entrez un nombre entier" sqref="X25:AI40">
      <formula1>0</formula1>
    </dataValidation>
    <dataValidation allowBlank="1" showInputMessage="1" showErrorMessage="1" promptTitle="PARAMETRAGE" prompt="Entrez l'intitulé de vos comptes.&#10;Coloriez la cellule en Vert si le compte n'est pas soumis à TVA" sqref="U4:U18"/>
    <dataValidation allowBlank="1" showInputMessage="1" showErrorMessage="1" promptTitle="PARAMETRAGE" prompt="Entrez les informations relatives à votre procédure de notes de frais" sqref="W4:W18"/>
    <dataValidation allowBlank="1" showInputMessage="1" showErrorMessage="1" promptTitle="CENTRE ANALYTIQUE" prompt="Entrez le Code Analytique de votre section" sqref="K4:L4"/>
    <dataValidation type="list" allowBlank="1" showInputMessage="1" showErrorMessage="1" promptTitle="SERVICE" prompt="Entrez le Nom de votre service" sqref="K3:L3">
      <formula1>$U$24:$U$40</formula1>
    </dataValidation>
    <dataValidation allowBlank="1" showInputMessage="1" showErrorMessage="1" promptTitle="PARAMETRAGE" prompt="Entrez le nom des différents département de votre entreprise" sqref="U24:U40"/>
    <dataValidation type="textLength" operator="equal" allowBlank="1" showInputMessage="1" showErrorMessage="1" promptTitle="ATTENTION" prompt="Cette cellule ne doit pas être modifiée" errorTitle="ERREUR PARAMETRAGE" error="Cette cellule ne doit pas être modifiée" sqref="U2:U3 U19">
      <formula1>1000</formula1>
    </dataValidation>
    <dataValidation type="textLength" operator="equal" allowBlank="1" showInputMessage="1" showErrorMessage="1" promptTitle="ATTENTION !" prompt="Ne rien saisir dans cette cellule&#10;(Calcul automatique)" errorTitle="ERREUR PARAMETRAGE" error="Cette cellule ne doit pas être modifiée" sqref="W25:W40">
      <formula1>1000</formula1>
    </dataValidation>
    <dataValidation allowBlank="1" showInputMessage="1" showErrorMessage="1" promptTitle="COMPTE COLLABORATEUR" prompt="Entrez votre numéro de compte collaborateur" sqref="F5:G5"/>
    <dataValidation allowBlank="1" showInputMessage="1" showErrorMessage="1" promptTitle="PARAMETRAGE" prompt="Entrez le Code Comptable associé à chaque devise&#10;" sqref="AC3:AC12"/>
    <dataValidation allowBlank="1" showInputMessage="1" showErrorMessage="1" promptTitle="PARAMETRAGE" prompt="Entrez le Nom ou Numéro de votre Journal Comptable&#10;" sqref="AE3"/>
    <dataValidation allowBlank="1" showInputMessage="1" showErrorMessage="1" promptTitle="PARAMETRAGE" prompt="Entrez le Nom ou Symbole des différentes devises utilisées&#10;" sqref="AB3:AB12"/>
  </dataValidations>
  <printOptions horizontalCentered="1" verticalCentered="1"/>
  <pageMargins left="0.5905511811023623" right="0.5905511811023623" top="0.5905511811023623" bottom="0.5905511811023623" header="0.5905511811023623" footer="0.5905511811023623"/>
  <pageSetup fitToHeight="0" horizontalDpi="300" verticalDpi="300" orientation="landscape" paperSize="9" scale="81" r:id="rId4"/>
  <headerFooter alignWithMargins="0">
    <oddFooter>&amp;L&amp;6&amp;YEuromatic Expense V1.1&amp;R&amp;8&amp;D</oddFooter>
  </headerFooter>
  <rowBreaks count="1" manualBreakCount="1">
    <brk id="47" max="1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29"/>
  <sheetViews>
    <sheetView showGridLines="0" workbookViewId="0" topLeftCell="A1">
      <selection activeCell="A18" sqref="A18"/>
    </sheetView>
  </sheetViews>
  <sheetFormatPr defaultColWidth="11.421875" defaultRowHeight="12.75"/>
  <cols>
    <col min="1" max="1" width="13.28125" style="0" customWidth="1"/>
    <col min="2" max="2" width="16.00390625" style="0" customWidth="1"/>
    <col min="3" max="3" width="16.421875" style="0" customWidth="1"/>
    <col min="4" max="4" width="17.00390625" style="0" customWidth="1"/>
  </cols>
  <sheetData>
    <row r="1" spans="1:13" ht="12.75" customHeight="1" thickTop="1">
      <c r="A1" s="305" t="s">
        <v>136</v>
      </c>
      <c r="B1" s="306"/>
      <c r="C1" s="306"/>
      <c r="D1" s="307"/>
      <c r="E1" s="175"/>
      <c r="F1" s="175"/>
      <c r="G1" s="175"/>
      <c r="H1" s="175"/>
      <c r="I1" s="175"/>
      <c r="J1" s="175"/>
      <c r="K1" s="175"/>
      <c r="L1" s="175"/>
      <c r="M1" s="175"/>
    </row>
    <row r="2" spans="1:4" ht="12.75" customHeight="1">
      <c r="A2" s="199"/>
      <c r="B2" s="200"/>
      <c r="C2" s="200"/>
      <c r="D2" s="201"/>
    </row>
    <row r="3" spans="1:4" ht="25.5">
      <c r="A3" s="190" t="s">
        <v>129</v>
      </c>
      <c r="B3" s="177" t="s">
        <v>130</v>
      </c>
      <c r="C3" s="177" t="s">
        <v>131</v>
      </c>
      <c r="D3" s="191" t="s">
        <v>132</v>
      </c>
    </row>
    <row r="4" spans="1:4" ht="12.75">
      <c r="A4" s="192" t="s">
        <v>133</v>
      </c>
      <c r="B4" s="178">
        <f>d*0.364</f>
        <v>36.4</v>
      </c>
      <c r="C4" s="178">
        <f>d*(0.219)+723</f>
        <v>744.9</v>
      </c>
      <c r="D4" s="193">
        <f>d*0.255</f>
        <v>25.5</v>
      </c>
    </row>
    <row r="5" spans="1:4" ht="12.75">
      <c r="A5" s="194" t="s">
        <v>120</v>
      </c>
      <c r="B5" s="179">
        <f>d*0.439</f>
        <v>43.9</v>
      </c>
      <c r="C5" s="179">
        <f>d*(0.247)+960</f>
        <v>984.7</v>
      </c>
      <c r="D5" s="195">
        <f>d*0.295</f>
        <v>29.5</v>
      </c>
    </row>
    <row r="6" spans="1:4" ht="12.75">
      <c r="A6" s="192" t="s">
        <v>121</v>
      </c>
      <c r="B6" s="180">
        <f>d*0.483</f>
        <v>48.3</v>
      </c>
      <c r="C6" s="180">
        <f>d*(0.27)+1063</f>
        <v>1090</v>
      </c>
      <c r="D6" s="196">
        <f>d*0.323</f>
        <v>32.300000000000004</v>
      </c>
    </row>
    <row r="7" spans="1:4" ht="12.75">
      <c r="A7" s="194" t="s">
        <v>122</v>
      </c>
      <c r="B7" s="179">
        <f>d*0.505</f>
        <v>50.5</v>
      </c>
      <c r="C7" s="179">
        <f>d*(0.285)+1100</f>
        <v>1128.5</v>
      </c>
      <c r="D7" s="195">
        <f>d*0.34</f>
        <v>34</v>
      </c>
    </row>
    <row r="8" spans="1:4" ht="12.75">
      <c r="A8" s="192" t="s">
        <v>123</v>
      </c>
      <c r="B8" s="180">
        <f>d*0.528</f>
        <v>52.800000000000004</v>
      </c>
      <c r="C8" s="180">
        <f>d*(0.3)+1140</f>
        <v>1170</v>
      </c>
      <c r="D8" s="196">
        <f>d*0.357</f>
        <v>35.699999999999996</v>
      </c>
    </row>
    <row r="9" spans="1:4" ht="12.75">
      <c r="A9" s="194" t="s">
        <v>124</v>
      </c>
      <c r="B9" s="179">
        <f>d*0.558</f>
        <v>55.800000000000004</v>
      </c>
      <c r="C9" s="179">
        <f>d*(0.318)+1200</f>
        <v>1231.8</v>
      </c>
      <c r="D9" s="195">
        <f>d*0.378</f>
        <v>37.8</v>
      </c>
    </row>
    <row r="10" spans="1:4" ht="12.75">
      <c r="A10" s="192" t="s">
        <v>125</v>
      </c>
      <c r="B10" s="180">
        <f>d*0.572</f>
        <v>57.199999999999996</v>
      </c>
      <c r="C10" s="180">
        <f>d*(0.332)+1200</f>
        <v>1233.2</v>
      </c>
      <c r="D10" s="196">
        <f>d*0.392</f>
        <v>39.2</v>
      </c>
    </row>
    <row r="11" spans="1:4" ht="12.75">
      <c r="A11" s="194" t="s">
        <v>126</v>
      </c>
      <c r="B11" s="179">
        <f>d*0.602</f>
        <v>60.199999999999996</v>
      </c>
      <c r="C11" s="179">
        <f>d*(0.354)+1240</f>
        <v>1275.4</v>
      </c>
      <c r="D11" s="195">
        <f>d*0.416</f>
        <v>41.6</v>
      </c>
    </row>
    <row r="12" spans="1:4" ht="12.75">
      <c r="A12" s="192" t="s">
        <v>127</v>
      </c>
      <c r="B12" s="180">
        <f>d*0.614</f>
        <v>61.4</v>
      </c>
      <c r="C12" s="180">
        <f>d*(0.369)+1223</f>
        <v>1259.9</v>
      </c>
      <c r="D12" s="196">
        <f>d*0.43</f>
        <v>43</v>
      </c>
    </row>
    <row r="13" spans="1:4" ht="12.75">
      <c r="A13" s="194" t="s">
        <v>128</v>
      </c>
      <c r="B13" s="179">
        <f>d*0.645</f>
        <v>64.5</v>
      </c>
      <c r="C13" s="179">
        <f>d*(0.385)+1300</f>
        <v>1338.5</v>
      </c>
      <c r="D13" s="195">
        <f>d*0.45</f>
        <v>45</v>
      </c>
    </row>
    <row r="14" spans="1:4" ht="12.75">
      <c r="A14" s="192" t="s">
        <v>134</v>
      </c>
      <c r="B14" s="180">
        <f>d*0.656</f>
        <v>65.60000000000001</v>
      </c>
      <c r="C14" s="180">
        <f>d*(0.4)+1280</f>
        <v>1320</v>
      </c>
      <c r="D14" s="196">
        <f>d*0.464</f>
        <v>46.400000000000006</v>
      </c>
    </row>
    <row r="15" spans="1:4" ht="12.75">
      <c r="A15" s="202"/>
      <c r="B15" s="200"/>
      <c r="C15" s="200"/>
      <c r="D15" s="201"/>
    </row>
    <row r="16" spans="1:4" ht="12.75">
      <c r="A16" s="202"/>
      <c r="B16" s="200"/>
      <c r="C16" s="200"/>
      <c r="D16" s="201"/>
    </row>
    <row r="17" spans="1:4" ht="26.25" thickBot="1">
      <c r="A17" s="197" t="s">
        <v>135</v>
      </c>
      <c r="B17" s="200"/>
      <c r="C17" s="200"/>
      <c r="D17" s="201"/>
    </row>
    <row r="18" spans="1:4" ht="14.25" thickBot="1" thickTop="1">
      <c r="A18" s="176">
        <v>100</v>
      </c>
      <c r="B18" s="212">
        <f>(d&lt;=5000)*1</f>
        <v>1</v>
      </c>
      <c r="C18" s="212">
        <f>AND(d&gt;5000,d&lt;=20000)*2</f>
        <v>0</v>
      </c>
      <c r="D18" s="213">
        <f>(d&gt;20000)*3</f>
        <v>0</v>
      </c>
    </row>
    <row r="19" spans="1:4" ht="13.5" thickTop="1">
      <c r="A19" s="202"/>
      <c r="B19" s="200"/>
      <c r="C19" s="200"/>
      <c r="D19" s="201"/>
    </row>
    <row r="20" spans="1:4" ht="12.75">
      <c r="A20" s="202"/>
      <c r="B20" s="200"/>
      <c r="C20" s="200"/>
      <c r="D20" s="201"/>
    </row>
    <row r="21" spans="1:4" ht="26.25" thickBot="1">
      <c r="A21" s="197" t="s">
        <v>137</v>
      </c>
      <c r="B21" s="211">
        <v>2</v>
      </c>
      <c r="C21" s="181" t="s">
        <v>138</v>
      </c>
      <c r="D21" s="201"/>
    </row>
    <row r="22" spans="1:4" ht="14.25" thickBot="1" thickTop="1">
      <c r="A22" s="198"/>
      <c r="B22" s="210"/>
      <c r="C22" s="182">
        <f>ROUND(INDEX(B4:D14,B21,SUM(B18:D18)),2)</f>
        <v>43.9</v>
      </c>
      <c r="D22" s="201"/>
    </row>
    <row r="23" spans="1:4" ht="13.5" thickTop="1">
      <c r="A23" s="203"/>
      <c r="B23" s="204"/>
      <c r="C23" s="204"/>
      <c r="D23" s="205"/>
    </row>
    <row r="24" spans="1:4" ht="12.75">
      <c r="A24" s="203"/>
      <c r="B24" s="204"/>
      <c r="C24" s="204"/>
      <c r="D24" s="205"/>
    </row>
    <row r="25" spans="1:4" ht="12.75">
      <c r="A25" s="203"/>
      <c r="B25" s="204"/>
      <c r="C25" s="204"/>
      <c r="D25" s="205"/>
    </row>
    <row r="26" spans="1:4" ht="12.75">
      <c r="A26" s="203"/>
      <c r="B26" s="204"/>
      <c r="C26" s="204"/>
      <c r="D26" s="205"/>
    </row>
    <row r="27" spans="1:4" ht="12.75">
      <c r="A27" s="203"/>
      <c r="B27" s="204"/>
      <c r="C27" s="204"/>
      <c r="D27" s="205"/>
    </row>
    <row r="28" spans="1:4" ht="12.75">
      <c r="A28" s="203"/>
      <c r="B28" s="204"/>
      <c r="C28" s="204"/>
      <c r="D28" s="205"/>
    </row>
    <row r="29" spans="1:4" ht="13.5" thickBot="1">
      <c r="A29" s="207"/>
      <c r="B29" s="208"/>
      <c r="C29" s="208"/>
      <c r="D29" s="209"/>
    </row>
    <row r="30" ht="13.5" thickTop="1"/>
  </sheetData>
  <sheetProtection sheet="1" scenarios="1"/>
  <mergeCells count="1">
    <mergeCell ref="A1:D1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Euromatic</Company>
  <HyperlinkBase>http://euromatic.online.fr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Euromatic Expense Report V1.2</dc:title>
  <dc:subject/>
  <dc:creator>BARONE Jean-Marie</dc:creator>
  <cp:keywords>Note de Frais</cp:keywords>
  <dc:description/>
  <cp:lastModifiedBy>jmb</cp:lastModifiedBy>
  <dcterms:created xsi:type="dcterms:W3CDTF">2006-04-10T19:44:24Z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